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lazuli\gestion\Stationnement\"/>
    </mc:Choice>
  </mc:AlternateContent>
  <xr:revisionPtr revIDLastSave="0" documentId="8_{03184E6D-6004-4567-B594-59380ED2AA78}" xr6:coauthVersionLast="47" xr6:coauthVersionMax="47" xr10:uidLastSave="{00000000-0000-0000-0000-000000000000}"/>
  <bookViews>
    <workbookView xWindow="-120" yWindow="-120" windowWidth="38640" windowHeight="21240" firstSheet="1" activeTab="1" xr2:uid="{51A22798-F04D-468B-BD37-3C1611AF7104}"/>
  </bookViews>
  <sheets>
    <sheet name="base" sheetId="2" state="hidden" r:id="rId1"/>
    <sheet name="Import conteneur" sheetId="3" r:id="rId2"/>
    <sheet name="Import roulant" sheetId="6" r:id="rId3"/>
    <sheet name="Export conteneur" sheetId="5" r:id="rId4"/>
    <sheet name="Export roulant" sheetId="7" r:id="rId5"/>
  </sheets>
  <definedNames>
    <definedName name="ABC">base!$A$6:$A$8</definedName>
    <definedName name="longueur" localSheetId="3">sss[longueur]</definedName>
    <definedName name="longueur" localSheetId="4">sss[longueur]</definedName>
    <definedName name="longueur" localSheetId="2">sss[longueur]</definedName>
    <definedName name="longueur">sss[longueur]</definedName>
    <definedName name="Marchandise" localSheetId="4">Tableau1[Marchandise]</definedName>
    <definedName name="Marchandise">Tableau1[Marchandise]</definedName>
    <definedName name="type" localSheetId="3">ohdgx[ohdgx]</definedName>
    <definedName name="type" localSheetId="4">ohdgx[ohdgx]</definedName>
    <definedName name="type" localSheetId="2">ohdgx[ohdgx]</definedName>
    <definedName name="type">ohdgx[ohdgx]</definedName>
    <definedName name="vingt">base!$E$2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3" l="1"/>
  <c r="H22" i="3" s="1"/>
  <c r="H8" i="3"/>
  <c r="E19" i="7"/>
  <c r="F12" i="7"/>
  <c r="L10" i="7"/>
  <c r="L12" i="7" s="1"/>
  <c r="K10" i="7"/>
  <c r="K12" i="7" s="1"/>
  <c r="J10" i="7"/>
  <c r="J12" i="7" s="1"/>
  <c r="I10" i="7"/>
  <c r="H10" i="7"/>
  <c r="H12" i="7" s="1"/>
  <c r="G10" i="7"/>
  <c r="G12" i="7" s="1"/>
  <c r="L9" i="7"/>
  <c r="K9" i="7"/>
  <c r="J9" i="7"/>
  <c r="I9" i="7"/>
  <c r="H9" i="7"/>
  <c r="G9" i="7"/>
  <c r="J22" i="3" l="1"/>
  <c r="H19" i="7"/>
  <c r="I19" i="7" s="1"/>
  <c r="P19" i="7"/>
  <c r="S19" i="7" s="1"/>
  <c r="R19" i="7"/>
  <c r="L19" i="7"/>
  <c r="M19" i="7" s="1"/>
  <c r="N19" i="7"/>
  <c r="O19" i="7" s="1"/>
  <c r="I12" i="7"/>
  <c r="Q19" i="7"/>
  <c r="F19" i="7"/>
  <c r="G19" i="7" s="1"/>
  <c r="J19" i="7"/>
  <c r="K19" i="7" s="1"/>
  <c r="T19" i="7" l="1"/>
  <c r="A17" i="7" s="1"/>
  <c r="L9" i="6" l="1"/>
  <c r="K9" i="6"/>
  <c r="J9" i="6"/>
  <c r="I9" i="6"/>
  <c r="H9" i="6"/>
  <c r="G9" i="6"/>
  <c r="E19" i="6" l="1"/>
  <c r="F19" i="6" s="1"/>
  <c r="G19" i="6" s="1"/>
  <c r="F12" i="6"/>
  <c r="L10" i="6"/>
  <c r="L12" i="6" s="1"/>
  <c r="K10" i="6"/>
  <c r="J10" i="6"/>
  <c r="J12" i="6" s="1"/>
  <c r="I10" i="6"/>
  <c r="I12" i="6" s="1"/>
  <c r="H10" i="6"/>
  <c r="H12" i="6" s="1"/>
  <c r="G10" i="6"/>
  <c r="G12" i="6" s="1"/>
  <c r="P19" i="6" l="1"/>
  <c r="R19" i="6"/>
  <c r="H19" i="6"/>
  <c r="I19" i="6" s="1"/>
  <c r="J19" i="6"/>
  <c r="K19" i="6" s="1"/>
  <c r="L19" i="6"/>
  <c r="M19" i="6" s="1"/>
  <c r="N19" i="6"/>
  <c r="O19" i="6" s="1"/>
  <c r="K12" i="6"/>
  <c r="G22" i="5"/>
  <c r="H22" i="5" s="1"/>
  <c r="F22" i="5"/>
  <c r="I22" i="5" s="1"/>
  <c r="G15" i="5"/>
  <c r="N13" i="5"/>
  <c r="M13" i="5"/>
  <c r="M15" i="5" s="1"/>
  <c r="L13" i="5"/>
  <c r="K13" i="5"/>
  <c r="K15" i="5" s="1"/>
  <c r="J13" i="5"/>
  <c r="J15" i="5" s="1"/>
  <c r="I13" i="5"/>
  <c r="I15" i="5" s="1"/>
  <c r="H13" i="5"/>
  <c r="H15" i="5" s="1"/>
  <c r="N12" i="5"/>
  <c r="M12" i="5"/>
  <c r="L12" i="5"/>
  <c r="K12" i="5"/>
  <c r="J12" i="5"/>
  <c r="I12" i="5"/>
  <c r="H12" i="5"/>
  <c r="N10" i="5"/>
  <c r="M10" i="5"/>
  <c r="L10" i="5"/>
  <c r="K10" i="5"/>
  <c r="J10" i="5"/>
  <c r="I10" i="5"/>
  <c r="H10" i="5"/>
  <c r="N8" i="5"/>
  <c r="M8" i="5"/>
  <c r="L8" i="5"/>
  <c r="K8" i="5"/>
  <c r="J8" i="5"/>
  <c r="I8" i="5"/>
  <c r="H8" i="5"/>
  <c r="F22" i="3"/>
  <c r="I22" i="3" s="1"/>
  <c r="N12" i="3"/>
  <c r="M12" i="3"/>
  <c r="L12" i="3"/>
  <c r="K12" i="3"/>
  <c r="J12" i="3"/>
  <c r="I12" i="3"/>
  <c r="H12" i="3"/>
  <c r="N10" i="3"/>
  <c r="M10" i="3"/>
  <c r="L10" i="3"/>
  <c r="K10" i="3"/>
  <c r="J10" i="3"/>
  <c r="I10" i="3"/>
  <c r="H10" i="3"/>
  <c r="I8" i="3"/>
  <c r="J8" i="3"/>
  <c r="K8" i="3"/>
  <c r="L8" i="3"/>
  <c r="M8" i="3"/>
  <c r="N8" i="3"/>
  <c r="H13" i="3"/>
  <c r="H15" i="3" s="1"/>
  <c r="N13" i="3"/>
  <c r="G15" i="3"/>
  <c r="M13" i="3"/>
  <c r="L13" i="3"/>
  <c r="K13" i="3"/>
  <c r="J13" i="3"/>
  <c r="I13" i="3"/>
  <c r="I15" i="3" s="1"/>
  <c r="K22" i="3" l="1"/>
  <c r="Q19" i="6"/>
  <c r="S19" i="6"/>
  <c r="R22" i="5"/>
  <c r="S22" i="5" s="1"/>
  <c r="V22" i="5"/>
  <c r="W22" i="5" s="1"/>
  <c r="N15" i="5"/>
  <c r="J22" i="5"/>
  <c r="K22" i="5" s="1"/>
  <c r="L22" i="5"/>
  <c r="M22" i="5" s="1"/>
  <c r="N22" i="5"/>
  <c r="O22" i="5" s="1"/>
  <c r="P22" i="5"/>
  <c r="Q22" i="5" s="1"/>
  <c r="L15" i="5"/>
  <c r="T22" i="5"/>
  <c r="U22" i="5" s="1"/>
  <c r="N22" i="3"/>
  <c r="O22" i="3" s="1"/>
  <c r="R22" i="3"/>
  <c r="S22" i="3" s="1"/>
  <c r="P22" i="3"/>
  <c r="Q22" i="3" s="1"/>
  <c r="V22" i="3"/>
  <c r="W22" i="3" s="1"/>
  <c r="T22" i="3"/>
  <c r="U22" i="3" s="1"/>
  <c r="L22" i="3"/>
  <c r="M22" i="3" s="1"/>
  <c r="N15" i="3"/>
  <c r="K15" i="3"/>
  <c r="J15" i="3"/>
  <c r="L15" i="3"/>
  <c r="M15" i="3"/>
  <c r="X22" i="3" l="1"/>
  <c r="A20" i="3" s="1"/>
  <c r="T19" i="6"/>
  <c r="A17" i="6" s="1"/>
  <c r="Y22" i="5"/>
  <c r="X22" i="5"/>
  <c r="A20" i="5" s="1"/>
  <c r="Y22" i="3"/>
</calcChain>
</file>

<file path=xl/sharedStrings.xml><?xml version="1.0" encoding="utf-8"?>
<sst xmlns="http://schemas.openxmlformats.org/spreadsheetml/2006/main" count="244" uniqueCount="89">
  <si>
    <t>longueur</t>
  </si>
  <si>
    <t>ohdgx</t>
  </si>
  <si>
    <t>Marchandise</t>
  </si>
  <si>
    <t>20'</t>
  </si>
  <si>
    <t>OH</t>
  </si>
  <si>
    <t>A</t>
  </si>
  <si>
    <t>40'</t>
  </si>
  <si>
    <t>DGX</t>
  </si>
  <si>
    <t>B</t>
  </si>
  <si>
    <t>45'</t>
  </si>
  <si>
    <t>C</t>
  </si>
  <si>
    <t xml:space="preserve">INTRAMAR SA / MED EUROPE TERMINAL - </t>
  </si>
  <si>
    <t>Tous droits et moyens réservés et sans reconnaissance de responsabilités</t>
  </si>
  <si>
    <t xml:space="preserve">Cette feuille de calcul est mise à disposition par Intramar SA, uniquement à titre d'assistance pour le calcul des frais de stationnement des conteneurs sur le terminal de Med Europe pour l'année 2024. 
Elle ne constitue en aucun cas une facture ou un document contractuel et n'engage pas la responsabilité d'Intramar SA quant à l'exactitude des montants calculés. </t>
  </si>
  <si>
    <t>Taille</t>
  </si>
  <si>
    <t>Type</t>
  </si>
  <si>
    <t>20/40OH</t>
  </si>
  <si>
    <t>tranche 1</t>
  </si>
  <si>
    <t>tranche 2</t>
  </si>
  <si>
    <t>tranche 3</t>
  </si>
  <si>
    <t>tranche 4</t>
  </si>
  <si>
    <t>tranche 5</t>
  </si>
  <si>
    <t>tranche 6</t>
  </si>
  <si>
    <t>tranche 7</t>
  </si>
  <si>
    <t>tranche 8</t>
  </si>
  <si>
    <t>gratuit</t>
  </si>
  <si>
    <t>OH ou DGX</t>
  </si>
  <si>
    <t>20' ohdgx</t>
  </si>
  <si>
    <t>40' ohdgx</t>
  </si>
  <si>
    <t>45' ohdgx</t>
  </si>
  <si>
    <t>du</t>
  </si>
  <si>
    <t>au</t>
  </si>
  <si>
    <t>Nombre de jour</t>
  </si>
  <si>
    <r>
      <rPr>
        <sz val="11"/>
        <rFont val="aptos"/>
        <family val="2"/>
      </rPr>
      <t>→</t>
    </r>
    <r>
      <rPr>
        <i/>
        <sz val="11"/>
        <rFont val="aptos"/>
        <family val="2"/>
      </rPr>
      <t xml:space="preserve"> Informer les cellules des colonnes dont les titres sont en orange. Nombre et taille sont obligatoires, pas le type qui est facultatif.</t>
    </r>
  </si>
  <si>
    <r>
      <rPr>
        <sz val="11"/>
        <rFont val="aptos"/>
        <family val="2"/>
      </rPr>
      <t>→</t>
    </r>
    <r>
      <rPr>
        <i/>
        <sz val="11"/>
        <rFont val="aptos"/>
        <family val="2"/>
      </rPr>
      <t xml:space="preserve"> Si vous souhaitez des lignes supplémentaires, il suffit de noter le nombre de conteneur sur la ligne à la suite directe de la dernière.</t>
    </r>
  </si>
  <si>
    <t>Total 
général</t>
  </si>
  <si>
    <t>Nombre de 
conteneur</t>
  </si>
  <si>
    <t>Type
OH/DGX</t>
  </si>
  <si>
    <t>Date début
'Débarquement'</t>
  </si>
  <si>
    <t>Date fin
'Livraison'</t>
  </si>
  <si>
    <t>Nombre
jours
total</t>
  </si>
  <si>
    <t>Tranche 1
import
nb jour</t>
  </si>
  <si>
    <t>Tranche 1
Import
coût</t>
  </si>
  <si>
    <t>Tranche 2
import
nb jour</t>
  </si>
  <si>
    <t>Tranche 2
Import
coût</t>
  </si>
  <si>
    <t>Tranche 3
import
nb jour</t>
  </si>
  <si>
    <t>Tranche 3
Import
coût</t>
  </si>
  <si>
    <t>Tranche 4
import
nb jour</t>
  </si>
  <si>
    <t>Tranche 4
Import
coût</t>
  </si>
  <si>
    <t>Tranche 5
import
nb jour</t>
  </si>
  <si>
    <t>Tranche 5
Import
coût</t>
  </si>
  <si>
    <t>Tranche 6
import
nb jour</t>
  </si>
  <si>
    <t>Tranche 6
Import
coût</t>
  </si>
  <si>
    <t>Tranche 7
import
nb jour</t>
  </si>
  <si>
    <t>Tranche 7
Import
coût</t>
  </si>
  <si>
    <t>Tranche 8
import
nb jour</t>
  </si>
  <si>
    <t>Tranche 8
Import
coût</t>
  </si>
  <si>
    <t>Total
Stationnement</t>
  </si>
  <si>
    <t>Contrôle
jours</t>
  </si>
  <si>
    <t>INTRAMAR SA / MED EUROPE TERMINAL</t>
  </si>
  <si>
    <t>Type2</t>
  </si>
  <si>
    <t>Véhicule de tourisme
Fourgon, Bungalow
Caravane</t>
  </si>
  <si>
    <t>Camion, Remorque
Engin TP sur roues
Ens. Routiers</t>
  </si>
  <si>
    <t>Engins TP 
sur chenilles</t>
  </si>
  <si>
    <r>
      <rPr>
        <sz val="11"/>
        <rFont val="aptos"/>
        <family val="2"/>
      </rPr>
      <t>→</t>
    </r>
    <r>
      <rPr>
        <i/>
        <sz val="11"/>
        <rFont val="aptos"/>
        <family val="2"/>
      </rPr>
      <t xml:space="preserve"> Informer les cellules des colonnes dont les titres sont en orange. Nombre et type sont obligatoires.</t>
    </r>
  </si>
  <si>
    <r>
      <rPr>
        <sz val="11"/>
        <rFont val="aptos"/>
        <family val="2"/>
      </rPr>
      <t>→</t>
    </r>
    <r>
      <rPr>
        <i/>
        <sz val="11"/>
        <rFont val="aptos"/>
        <family val="2"/>
      </rPr>
      <t xml:space="preserve"> Si vous souhaitez des lignes supplémentaires, il suffit de noter le nombre de marchandise sur la ligne à la suite directe de la dernière.</t>
    </r>
  </si>
  <si>
    <t>Nombre de 
marchandises</t>
  </si>
  <si>
    <t>Date début
'Réception'</t>
  </si>
  <si>
    <t>Date fin
'Embarquement'</t>
  </si>
  <si>
    <t>Tranche 1
export
nb jour</t>
  </si>
  <si>
    <t>Tranche 1
export
coût</t>
  </si>
  <si>
    <t>Tranche 2
export
nb jour</t>
  </si>
  <si>
    <t>Tranche 2
export
coût</t>
  </si>
  <si>
    <t>Tranche 3
export
nb jour</t>
  </si>
  <si>
    <t>Tranche 3
export
coût</t>
  </si>
  <si>
    <t>Tranche 4
export
nb jour</t>
  </si>
  <si>
    <t>Tranche 4
export
coût</t>
  </si>
  <si>
    <t>Tranche 5
export
nb jour</t>
  </si>
  <si>
    <t>Tranche 5
export
coût</t>
  </si>
  <si>
    <t>Tranche 6
export
nb jour</t>
  </si>
  <si>
    <t>Tranche 6
export
coût</t>
  </si>
  <si>
    <t>Tranche 7
export
nb jour</t>
  </si>
  <si>
    <t>Tranche 7
export
coût</t>
  </si>
  <si>
    <t>Tranche 8
export
nb jour</t>
  </si>
  <si>
    <t>Tranche 8
export
coût</t>
  </si>
  <si>
    <t>Aide au calcul des frais de stationnement IMPORT pour des conteneurs ou des reefers au tarif 2024</t>
  </si>
  <si>
    <t>Aide au calcul des frais de stationnement IMPORT pour la marchandise roulante au tarif 2024</t>
  </si>
  <si>
    <t>Aide au calcul des frais de stationnement EXPORT pour des conteneurs ou des reefers au tarif 2024
Le tarif export est utilisé aussi pour les transbordements et les retraits de quai auxquels il faut appliquer la TVA et rajouter le montant forfaitaire du retrait de quai (cf tarifs généraux)</t>
  </si>
  <si>
    <t>Aide au calcul des frais de stationnement EXPORT pour la marchandise roulante au tarif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</si>
</sst>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General&quot; j&quot;"/>
    <numFmt numFmtId="165" formatCode="#,##0.0\ &quot;€&quot;"/>
    <numFmt numFmtId="166" formatCode="#,##0.00\ &quot;€&quot;"/>
    <numFmt numFmtId="167" formatCode="dd\-mm\-yy"/>
    <numFmt numFmtId="168" formatCode="#,##0.0000\ &quot;€&quot;"/>
    <numFmt numFmtId="169" formatCode="#,##0.0\ &quot;€&quot;&quot; gratuit&quot;"/>
  </numFmts>
  <fonts count="13" x14ac:knownFonts="1">
    <font>
      <sz val="11"/>
      <color theme="1"/>
      <name val="Calibri"/>
      <family val="2"/>
      <scheme val="minor"/>
    </font>
    <font>
      <sz val="11"/>
      <color theme="1"/>
      <name val="Calibri Light"/>
      <family val="2"/>
      <scheme val="major"/>
    </font>
    <font>
      <sz val="11"/>
      <color theme="1"/>
      <name val="Segoe UI"/>
      <family val="2"/>
    </font>
    <font>
      <sz val="8"/>
      <name val="Calibri"/>
      <family val="2"/>
      <scheme val="minor"/>
    </font>
    <font>
      <b/>
      <sz val="11"/>
      <color theme="0"/>
      <name val="Calibri"/>
      <family val="2"/>
      <scheme val="minor"/>
    </font>
    <font>
      <sz val="11"/>
      <color theme="0"/>
      <name val="aptos"/>
      <family val="2"/>
    </font>
    <font>
      <b/>
      <sz val="11"/>
      <name val="aptos"/>
      <family val="2"/>
    </font>
    <font>
      <sz val="11"/>
      <name val="aptos"/>
      <family val="2"/>
    </font>
    <font>
      <sz val="18"/>
      <color theme="0"/>
      <name val="aptos"/>
      <family val="2"/>
    </font>
    <font>
      <i/>
      <sz val="11"/>
      <name val="aptos"/>
      <family val="2"/>
    </font>
    <font>
      <sz val="11"/>
      <color theme="0" tint="-0.14996795556505021"/>
      <name val="Aptos"/>
      <family val="2"/>
    </font>
    <font>
      <sz val="11"/>
      <color theme="0" tint="-0.14999847407452621"/>
      <name val="aptos"/>
      <family val="2"/>
    </font>
    <font>
      <i/>
      <sz val="18"/>
      <color theme="0"/>
      <name val="Aptos"/>
      <family val="2"/>
    </font>
  </fonts>
  <fills count="7">
    <fill>
      <patternFill patternType="none"/>
    </fill>
    <fill>
      <patternFill patternType="gray125"/>
    </fill>
    <fill>
      <patternFill patternType="solid">
        <fgColor theme="4"/>
        <bgColor theme="4"/>
      </patternFill>
    </fill>
    <fill>
      <patternFill patternType="solid">
        <fgColor theme="5"/>
        <bgColor indexed="64"/>
      </patternFill>
    </fill>
    <fill>
      <patternFill patternType="solid">
        <fgColor theme="0" tint="-0.14999847407452621"/>
        <bgColor theme="0" tint="-0.14999847407452621"/>
      </patternFill>
    </fill>
    <fill>
      <patternFill patternType="solid">
        <fgColor theme="4" tint="0.79998168889431442"/>
        <bgColor indexed="64"/>
      </patternFill>
    </fill>
    <fill>
      <patternFill patternType="solid">
        <fgColor theme="4" tint="-0.499984740745262"/>
        <bgColor indexed="64"/>
      </patternFill>
    </fill>
  </fills>
  <borders count="4">
    <border>
      <left/>
      <right/>
      <top/>
      <bottom/>
      <diagonal/>
    </border>
    <border>
      <left style="thin">
        <color theme="4" tint="0.39997558519241921"/>
      </left>
      <right style="thin">
        <color theme="4" tint="0.39997558519241921"/>
      </right>
      <top/>
      <bottom style="thin">
        <color theme="4" tint="0.39997558519241921"/>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s>
  <cellStyleXfs count="2">
    <xf numFmtId="0" fontId="0" fillId="0" borderId="0"/>
    <xf numFmtId="0" fontId="2" fillId="0" borderId="0"/>
  </cellStyleXfs>
  <cellXfs count="44">
    <xf numFmtId="0" fontId="0" fillId="0" borderId="0" xfId="0"/>
    <xf numFmtId="0" fontId="4" fillId="2" borderId="1" xfId="0" applyFont="1" applyFill="1" applyBorder="1"/>
    <xf numFmtId="0" fontId="7" fillId="0" borderId="0" xfId="0" applyFont="1" applyAlignment="1">
      <alignment vertical="top"/>
    </xf>
    <xf numFmtId="164" fontId="7" fillId="0" borderId="0" xfId="0" applyNumberFormat="1" applyFont="1" applyAlignment="1">
      <alignment vertical="top"/>
    </xf>
    <xf numFmtId="0" fontId="7" fillId="0" borderId="0" xfId="0" applyFont="1" applyAlignment="1">
      <alignment horizontal="right" vertical="top"/>
    </xf>
    <xf numFmtId="165" fontId="7" fillId="0" borderId="0" xfId="1" applyNumberFormat="1" applyFont="1" applyAlignment="1">
      <alignment horizontal="right" vertical="top"/>
    </xf>
    <xf numFmtId="164" fontId="7" fillId="0" borderId="0" xfId="1" applyNumberFormat="1" applyFont="1" applyAlignment="1">
      <alignment horizontal="right" vertical="top"/>
    </xf>
    <xf numFmtId="0" fontId="6" fillId="0" borderId="0" xfId="0" applyFont="1" applyAlignment="1">
      <alignment vertical="top"/>
    </xf>
    <xf numFmtId="0" fontId="7" fillId="0" borderId="0" xfId="0" applyFont="1" applyAlignment="1">
      <alignment horizontal="left" vertical="top"/>
    </xf>
    <xf numFmtId="0" fontId="7" fillId="0" borderId="0" xfId="1" applyFont="1" applyAlignment="1">
      <alignment horizontal="right" vertical="top"/>
    </xf>
    <xf numFmtId="166" fontId="7" fillId="0" borderId="0" xfId="1" applyNumberFormat="1" applyFont="1" applyAlignment="1">
      <alignment horizontal="right" vertical="top"/>
    </xf>
    <xf numFmtId="164" fontId="7" fillId="0" borderId="0" xfId="0" applyNumberFormat="1" applyFont="1" applyAlignment="1">
      <alignment horizontal="left" vertical="top"/>
    </xf>
    <xf numFmtId="0" fontId="9" fillId="0" borderId="0" xfId="0" applyFont="1" applyAlignment="1">
      <alignment horizontal="left" vertical="top"/>
    </xf>
    <xf numFmtId="0" fontId="6" fillId="2" borderId="2" xfId="1" applyFont="1" applyFill="1" applyBorder="1" applyAlignment="1">
      <alignment vertical="top" wrapText="1"/>
    </xf>
    <xf numFmtId="164" fontId="5" fillId="0" borderId="0" xfId="1" applyNumberFormat="1" applyFont="1" applyAlignment="1">
      <alignment horizontal="right" vertical="top"/>
    </xf>
    <xf numFmtId="164" fontId="10" fillId="0" borderId="0" xfId="1" applyNumberFormat="1" applyFont="1" applyAlignment="1">
      <alignment horizontal="right" vertical="top"/>
    </xf>
    <xf numFmtId="164" fontId="7" fillId="0" borderId="0" xfId="0" applyNumberFormat="1" applyFont="1" applyAlignment="1">
      <alignment horizontal="right" vertical="top"/>
    </xf>
    <xf numFmtId="0" fontId="7" fillId="0" borderId="0" xfId="0" applyFont="1" applyAlignment="1" applyProtection="1">
      <alignment vertical="top"/>
      <protection locked="0"/>
    </xf>
    <xf numFmtId="166" fontId="7" fillId="4" borderId="3" xfId="1" applyNumberFormat="1" applyFont="1" applyFill="1" applyBorder="1" applyAlignment="1">
      <alignment vertical="top"/>
    </xf>
    <xf numFmtId="0" fontId="7" fillId="3" borderId="0" xfId="0" applyFont="1" applyFill="1" applyAlignment="1">
      <alignment vertical="top" wrapText="1"/>
    </xf>
    <xf numFmtId="0" fontId="7" fillId="3" borderId="0" xfId="0" applyFont="1" applyFill="1" applyAlignment="1">
      <alignment horizontal="center" vertical="top" wrapText="1"/>
    </xf>
    <xf numFmtId="0" fontId="7" fillId="0" borderId="0" xfId="0" applyFont="1" applyAlignment="1">
      <alignment horizontal="center" vertical="top" wrapText="1"/>
    </xf>
    <xf numFmtId="0" fontId="7" fillId="0" borderId="0" xfId="1" applyFont="1" applyAlignment="1">
      <alignment vertical="top" wrapText="1"/>
    </xf>
    <xf numFmtId="0" fontId="7" fillId="0" borderId="0" xfId="1" applyFont="1" applyAlignment="1">
      <alignment horizontal="left" vertical="top" wrapText="1"/>
    </xf>
    <xf numFmtId="0" fontId="7" fillId="5" borderId="0" xfId="1" applyFont="1" applyFill="1" applyAlignment="1">
      <alignment horizontal="left" vertical="top" wrapText="1"/>
    </xf>
    <xf numFmtId="0" fontId="7" fillId="0" borderId="0" xfId="0" applyFont="1" applyAlignment="1">
      <alignment vertical="top" wrapText="1"/>
    </xf>
    <xf numFmtId="0" fontId="7" fillId="0" borderId="0" xfId="0" applyFont="1" applyAlignment="1" applyProtection="1">
      <alignment horizontal="right" vertical="top"/>
      <protection locked="0"/>
    </xf>
    <xf numFmtId="0" fontId="7" fillId="0" borderId="0" xfId="0" applyFont="1" applyAlignment="1" applyProtection="1">
      <alignment horizontal="left" vertical="top"/>
      <protection locked="0"/>
    </xf>
    <xf numFmtId="167" fontId="7" fillId="0" borderId="0" xfId="0" applyNumberFormat="1" applyFont="1" applyAlignment="1" applyProtection="1">
      <alignment horizontal="left" vertical="top"/>
      <protection locked="0"/>
    </xf>
    <xf numFmtId="164" fontId="7" fillId="0" borderId="0" xfId="1" applyNumberFormat="1" applyFont="1" applyAlignment="1">
      <alignment vertical="top"/>
    </xf>
    <xf numFmtId="168" fontId="7" fillId="0" borderId="0" xfId="1" applyNumberFormat="1" applyFont="1" applyAlignment="1">
      <alignment vertical="top"/>
    </xf>
    <xf numFmtId="166" fontId="7" fillId="0" borderId="0" xfId="1" applyNumberFormat="1" applyFont="1" applyAlignment="1">
      <alignment vertical="top"/>
    </xf>
    <xf numFmtId="0" fontId="1" fillId="0" borderId="0" xfId="0" applyFont="1" applyAlignment="1">
      <alignment wrapText="1"/>
    </xf>
    <xf numFmtId="0" fontId="0" fillId="0" borderId="0" xfId="0" applyAlignment="1">
      <alignment wrapText="1"/>
    </xf>
    <xf numFmtId="0" fontId="7" fillId="0" borderId="0" xfId="0" applyFont="1" applyAlignment="1">
      <alignment horizontal="left" vertical="top" wrapText="1"/>
    </xf>
    <xf numFmtId="164" fontId="11" fillId="0" borderId="0" xfId="1" applyNumberFormat="1" applyFont="1" applyAlignment="1">
      <alignment horizontal="right" vertical="top"/>
    </xf>
    <xf numFmtId="0" fontId="7" fillId="3" borderId="0" xfId="0" applyFont="1" applyFill="1" applyAlignment="1">
      <alignment vertical="top"/>
    </xf>
    <xf numFmtId="169" fontId="7" fillId="0" borderId="0" xfId="1" applyNumberFormat="1" applyFont="1" applyAlignment="1">
      <alignment horizontal="right" vertical="top"/>
    </xf>
    <xf numFmtId="0" fontId="12" fillId="3" borderId="0" xfId="0" applyFont="1" applyFill="1" applyAlignment="1">
      <alignment horizontal="left" vertical="top"/>
    </xf>
    <xf numFmtId="0" fontId="8" fillId="6" borderId="0" xfId="0" applyFont="1" applyFill="1" applyAlignment="1">
      <alignment horizontal="left" vertical="top"/>
    </xf>
    <xf numFmtId="0" fontId="9" fillId="0" borderId="0" xfId="0" applyFont="1" applyAlignment="1">
      <alignment horizontal="left" vertical="top" wrapText="1"/>
    </xf>
    <xf numFmtId="0" fontId="9" fillId="0" borderId="0" xfId="0" applyFont="1" applyAlignment="1">
      <alignment horizontal="left" vertical="top"/>
    </xf>
    <xf numFmtId="0" fontId="12" fillId="3" borderId="0" xfId="0" applyFont="1" applyFill="1" applyAlignment="1">
      <alignment horizontal="left" vertical="top"/>
    </xf>
    <xf numFmtId="0" fontId="8" fillId="6" borderId="0" xfId="0" applyFont="1" applyFill="1" applyAlignment="1">
      <alignment horizontal="left" vertical="top" wrapText="1"/>
    </xf>
  </cellXfs>
  <cellStyles count="2">
    <cellStyle name="Normal" xfId="0" builtinId="0"/>
    <cellStyle name="Normal 2" xfId="1" xr:uid="{9EB58D90-8044-40C3-82CC-FBC9DF64A54F}"/>
  </cellStyles>
  <dxfs count="149">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ptos"/>
        <family val="2"/>
        <scheme val="none"/>
      </font>
      <fill>
        <patternFill patternType="none">
          <fgColor rgb="FF000000"/>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8" formatCode="#,##0.0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7" formatCode="dd\-mm\-yy"/>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numFmt numFmtId="167" formatCode="dd\-mm\-yy"/>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numFmt numFmtId="1" formatCode="0"/>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fill>
        <patternFill patternType="none">
          <fgColor rgb="FF000000"/>
          <bgColor rgb="FFFFFFFF"/>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ptos"/>
        <family val="2"/>
        <scheme val="none"/>
      </font>
      <fill>
        <patternFill patternType="none">
          <fgColor rgb="FF000000"/>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8" formatCode="#,##0.0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7" formatCode="dd\-mm\-yy"/>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numFmt numFmtId="167" formatCode="dd\-mm\-yy"/>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numFmt numFmtId="1" formatCode="0"/>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fill>
        <patternFill patternType="none">
          <fgColor rgb="FF000000"/>
          <bgColor rgb="FFFFFFFF"/>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ptos"/>
        <family val="2"/>
        <scheme val="none"/>
      </font>
      <fill>
        <patternFill patternType="none">
          <fgColor rgb="FF000000"/>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8" formatCode="#,##0.0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7" formatCode="dd\-mm\-yy"/>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numFmt numFmtId="167" formatCode="dd\-mm\-yy"/>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numFmt numFmtId="1" formatCode="0"/>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fill>
        <patternFill patternType="none">
          <fgColor rgb="FF000000"/>
          <bgColor rgb="FFFFFFFF"/>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ptos"/>
        <family val="2"/>
        <scheme val="none"/>
      </fon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6" formatCode="#,##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8" formatCode="#,##0.0000\ &quot;€&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4" formatCode="General&quot; j&quo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ptos"/>
        <family val="2"/>
        <scheme val="none"/>
      </font>
      <numFmt numFmtId="167" formatCode="dd\-mm\-yy"/>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numFmt numFmtId="167" formatCode="dd\-mm\-yy"/>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numFmt numFmtId="1" formatCode="0"/>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11"/>
        <color auto="1"/>
        <name val="aptos"/>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ptos"/>
        <family val="2"/>
        <scheme val="none"/>
      </font>
      <fill>
        <patternFill patternType="none">
          <fgColor indexed="64"/>
          <bgColor auto="1"/>
        </patternFill>
      </fill>
      <alignment horizontal="general" vertical="top" textRotation="0" wrapText="1" indent="0" justifyLastLine="0" shrinkToFit="0" readingOrder="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96FF5AB-6E13-4B80-8F93-A2B765B42C5F}" name="sss" displayName="sss" ref="A1:A4" totalsRowShown="0">
  <autoFilter ref="A1:A4" xr:uid="{B96FF5AB-6E13-4B80-8F93-A2B765B42C5F}"/>
  <tableColumns count="1">
    <tableColumn id="1" xr3:uid="{429C57E8-28AC-4952-88DF-B189B020F5E1}" name="longueu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B22F748-E6FC-4811-BD70-F9299A6CEC59}" name="Tableau15106" displayName="Tableau15106" ref="A18:T19" totalsRowShown="0" headerRowDxfId="32" dataDxfId="31" headerRowCellStyle="Normal 2" dataCellStyle="Normal 2">
  <autoFilter ref="A18:T19" xr:uid="{3C190F7E-BA00-4AB8-A2C7-82B5CC61FD85}"/>
  <tableColumns count="20">
    <tableColumn id="1" xr3:uid="{FB57637A-C2CF-4B16-B6B3-732434D5FA4D}" name="Nombre de _x000a_marchandises" dataDxfId="30"/>
    <tableColumn id="9" xr3:uid="{AE0B5AD2-00E0-41C5-8C15-5522DFB2066E}" name="Type" dataDxfId="29"/>
    <tableColumn id="2" xr3:uid="{E0229BDF-A20A-4214-9000-FE3B83597E13}" name="Date début_x000a_'Réception'" dataDxfId="28"/>
    <tableColumn id="3" xr3:uid="{EBA2ED14-52C5-499D-A779-D9EE19FDBC45}" name="Date fin_x000a_'Embarquement'" dataDxfId="27"/>
    <tableColumn id="11" xr3:uid="{E22CF116-14FA-4E48-97B4-74AE158997AF}" name="Nombre_x000a_jours_x000a_total" dataDxfId="26">
      <calculatedColumnFormula>+IF(Tableau15106[[#This Row],[Nombre de 
marchandises]]="",0,Tableau15106[[#This Row],[Date fin
''Embarquement'']]-Tableau15106[[#This Row],[Date début
''Réception'']]+1)</calculatedColumnFormula>
    </tableColumn>
    <tableColumn id="12" xr3:uid="{3910E00D-423A-494F-9FFC-58CD6E551646}" name="Tranche 1_x000a_import_x000a_nb jour" dataDxfId="25" dataCellStyle="Normal 2">
      <calculatedColumnFormula>IF(Tableau15106[[#This Row],[Nombre
jours
total]]&lt;=F$11,Tableau15106[[#This Row],[Nombre
jours
total]],F$11)</calculatedColumnFormula>
    </tableColumn>
    <tableColumn id="4" xr3:uid="{9D91203D-ADB3-4511-A17E-F528F001F09D}" name="Tranche 1_x000a_Import_x000a_coût" dataDxfId="24" dataCellStyle="Normal 2">
      <calculatedColumnFormula>IFERROR(VLOOKUP(Tableau15106[[#This Row],[Type]],Tableau61112[],3,FALSE)*Tableau15106[[#This Row],[Tranche 1
import
nb jour]]*Tableau15106[[#This Row],[Nombre de 
marchandises]],0)</calculatedColumnFormula>
    </tableColumn>
    <tableColumn id="13" xr3:uid="{C5A9DA5A-9A92-4CD4-8D00-9BF5499B6719}" name="Tranche 2_x000a_import_x000a_nb jour" dataDxfId="23" dataCellStyle="Normal 2">
      <calculatedColumnFormula>IF(AND(Tableau15106[[#This Row],[Nombre
jours
total]]&gt;=G$10,Tableau15106[[#This Row],[Nombre
jours
total]]&lt;=G$11),Tableau15106[[#This Row],[Nombre
jours
total]]-G$10+1,IF(Tableau15106[[#This Row],[Nombre
jours
total]]&lt;G$10,0,IF(Tableau15106[[#This Row],[Nombre
jours
total]]&gt;G$11,G$11-G$10+1)))</calculatedColumnFormula>
    </tableColumn>
    <tableColumn id="5" xr3:uid="{99503BE8-D7C7-4663-A222-1B1F26F06EC5}" name="Tranche 2_x000a_Import_x000a_coût" dataDxfId="22" dataCellStyle="Normal 2">
      <calculatedColumnFormula>IFERROR(VLOOKUP(Tableau15106[[#This Row],[Type]],Tableau61112[],4,FALSE)*Tableau15106[[#This Row],[Tranche 2
import
nb jour]]*Tableau15106[[#This Row],[Nombre de 
marchandises]],0)</calculatedColumnFormula>
    </tableColumn>
    <tableColumn id="14" xr3:uid="{38FE558A-BDE9-4B2F-97EC-349FD9D9716E}" name="Tranche 3_x000a_import_x000a_nb jour" dataDxfId="21" dataCellStyle="Normal 2">
      <calculatedColumnFormula>IF(AND(Tableau15106[[#This Row],[Nombre
jours
total]]&gt;=H$10,Tableau15106[[#This Row],[Nombre
jours
total]]&lt;=H$11),Tableau15106[[#This Row],[Nombre
jours
total]]-H$10+1,IF(Tableau15106[[#This Row],[Nombre
jours
total]]&lt;H$10,0,IF(Tableau15106[[#This Row],[Nombre
jours
total]]&gt;H$11,H$11-H$10+1)))</calculatedColumnFormula>
    </tableColumn>
    <tableColumn id="6" xr3:uid="{94BF44CF-4C31-4B4C-8613-3EBD9863E7F5}" name="Tranche 3_x000a_Import_x000a_coût" dataDxfId="20" dataCellStyle="Normal 2">
      <calculatedColumnFormula>IFERROR(VLOOKUP(Tableau15106[[#This Row],[Type]],Tableau61112[],5,FALSE)*Tableau15106[[#This Row],[Tranche 3
import
nb jour]]*Tableau15106[[#This Row],[Nombre de 
marchandises]],0)</calculatedColumnFormula>
    </tableColumn>
    <tableColumn id="15" xr3:uid="{3286F590-0CB4-4C79-8572-E00E7A136E09}" name="Tranche 4_x000a_import_x000a_nb jour" dataDxfId="19" dataCellStyle="Normal 2">
      <calculatedColumnFormula>IF(AND(Tableau15106[[#This Row],[Nombre
jours
total]]&gt;=I$10,Tableau15106[[#This Row],[Nombre
jours
total]]&lt;=I$11),Tableau15106[[#This Row],[Nombre
jours
total]]-I$10+1,IF(Tableau15106[[#This Row],[Nombre
jours
total]]&lt;I$10,0,IF(Tableau15106[[#This Row],[Nombre
jours
total]]&gt;I$11,I$11-I$10+1)))</calculatedColumnFormula>
    </tableColumn>
    <tableColumn id="7" xr3:uid="{49891719-180E-4CED-8B94-CE486423FACE}" name="Tranche 4_x000a_Import_x000a_coût" dataDxfId="18" dataCellStyle="Normal 2">
      <calculatedColumnFormula>IFERROR(VLOOKUP(Tableau15106[[#This Row],[Type]],Tableau61112[],6,FALSE)*Tableau15106[[#This Row],[Tranche 4
import
nb jour]]*Tableau15106[[#This Row],[Nombre de 
marchandises]],0)</calculatedColumnFormula>
    </tableColumn>
    <tableColumn id="16" xr3:uid="{9BE2963B-FAB5-457D-BEF2-83D966EC5F60}" name="Tranche 5_x000a_import_x000a_nb jour" dataDxfId="17" dataCellStyle="Normal 2">
      <calculatedColumnFormula>IF(AND(Tableau15106[[#This Row],[Nombre
jours
total]]&gt;=J$10,Tableau15106[[#This Row],[Nombre
jours
total]]&lt;=J$11),Tableau15106[[#This Row],[Nombre
jours
total]]-J$10+1,IF(Tableau15106[[#This Row],[Nombre
jours
total]]&lt;J$10,0,IF(Tableau15106[[#This Row],[Nombre
jours
total]]&gt;J$11,J$11-J$10+1)))</calculatedColumnFormula>
    </tableColumn>
    <tableColumn id="8" xr3:uid="{1CAFA819-C80F-49DD-A75B-D41C6035D394}" name="Tranche 5_x000a_Import_x000a_coût" dataDxfId="16" dataCellStyle="Normal 2">
      <calculatedColumnFormula>IFERROR(VLOOKUP(Tableau15106[[#This Row],[Type]],Tableau61112[],7,FALSE)*Tableau15106[[#This Row],[Tranche 5
import
nb jour]]*Tableau15106[[#This Row],[Nombre de 
marchandises]],0)</calculatedColumnFormula>
    </tableColumn>
    <tableColumn id="17" xr3:uid="{9C850B7F-46E1-456C-907F-21A67CF03D69}" name="Tranche 6_x000a_import_x000a_nb jour" dataDxfId="15" dataCellStyle="Normal 2">
      <calculatedColumnFormula>IF(AND(Tableau15106[[#This Row],[Nombre
jours
total]]&gt;=K$10,Tableau15106[[#This Row],[Nombre
jours
total]]&lt;=K$11),Tableau15106[[#This Row],[Nombre
jours
total]]-K$10+1,IF(Tableau15106[[#This Row],[Nombre
jours
total]]&lt;K$10,0,IF(Tableau15106[[#This Row],[Nombre
jours
total]]&gt;K$11,K$11-K$10+1)))</calculatedColumnFormula>
    </tableColumn>
    <tableColumn id="20" xr3:uid="{2FB91251-F1E8-4FE0-9871-1DD27884BCAC}" name="Tranche 6_x000a_Import_x000a_coût" dataDxfId="14" dataCellStyle="Normal 2">
      <calculatedColumnFormula>IFERROR(VLOOKUP(Tableau15106[[#This Row],[Type]],Tableau61112[],8,FALSE)*Tableau15106[[#This Row],[Tranche 6
import
nb jour]]*Tableau15106[[#This Row],[Nombre de 
marchandises]],0)</calculatedColumnFormula>
    </tableColumn>
    <tableColumn id="18" xr3:uid="{33A3E5FF-604F-4C5F-9110-5F2925C5EC1E}" name="Tranche 7_x000a_import_x000a_nb jour" dataDxfId="13" dataCellStyle="Normal 2">
      <calculatedColumnFormula>IF(AND(Tableau15106[[#This Row],[Nombre
jours
total]]&gt;=L$10,Tableau15106[[#This Row],[Nombre
jours
total]]&lt;=L$11),Tableau15106[[#This Row],[Nombre
jours
total]]-L$10+1,IF(Tableau15106[[#This Row],[Nombre
jours
total]]&lt;L$10,0,IF(Tableau15106[[#This Row],[Nombre
jours
total]]&gt;L$11,L$11-L$10+1)))</calculatedColumnFormula>
    </tableColumn>
    <tableColumn id="24" xr3:uid="{ECC5B4B6-EDE6-4BEA-A5DF-D7F7DB794C3C}" name="Tranche 7_x000a_Import_x000a_coût" dataDxfId="12" dataCellStyle="Normal 2">
      <calculatedColumnFormula>IFERROR(VLOOKUP(Tableau15106[[#This Row],[Type]],Tableau61112[],9,FALSE)*Tableau15106[[#This Row],[Tranche 6
import
nb jour]]*Tableau15106[[#This Row],[Nombre de 
marchandises]],0)</calculatedColumnFormula>
    </tableColumn>
    <tableColumn id="26" xr3:uid="{F18AE51A-D365-45ED-B8D6-7E81C6225862}" name="Total_x000a_Stationnement" dataDxfId="11" dataCellStyle="Normal 2">
      <calculatedColumnFormula>+Tableau15106[[#This Row],[Tranche 7
Import
coût]]+Tableau15106[[#This Row],[Tranche 6
Import
coût]]+Tableau15106[[#This Row],[Tranche 5
Import
coût]]+Tableau15106[[#This Row],[Tranche 4
Import
coût]]+Tableau15106[[#This Row],[Tranche 3
Import
coût]]+Tableau15106[[#This Row],[Tranche 2
Import
coût]]+Tableau15106[[#This Row],[Tranche 1
Import
coût]]</calculatedColumnFormula>
    </tableColumn>
  </tableColumns>
  <tableStyleInfo name="TableStyleMedium1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1DE9F5D-D7EC-4802-B5AB-98C45606CA84}" name="Tableau61112" displayName="Tableau61112" ref="D6:L12" totalsRowShown="0" headerRowDxfId="10" dataDxfId="9" dataCellStyle="Normal 2">
  <autoFilter ref="D6:L12" xr:uid="{A6973159-7BFD-4030-9BB4-4D83ADE3DCBF}"/>
  <tableColumns count="9">
    <tableColumn id="14" xr3:uid="{B99374AD-E1AC-4A89-8D8E-3E1143A43FB9}" name="Type" dataDxfId="8" dataCellStyle="Normal 2"/>
    <tableColumn id="13" xr3:uid="{08A7E1B2-EF8F-4293-8C37-E94630ABD2AF}" name="Type2" dataDxfId="7" dataCellStyle="Normal 2"/>
    <tableColumn id="3" xr3:uid="{A19F07EE-B0C1-4802-83DE-79EF3660E51C}" name="tranche 1" dataDxfId="6" dataCellStyle="Normal 2"/>
    <tableColumn id="4" xr3:uid="{72AA95EE-629C-4597-BF44-7A35DB6C556B}" name="tranche 2" dataDxfId="5" dataCellStyle="Normal 2"/>
    <tableColumn id="5" xr3:uid="{F4484F31-5311-4869-9FB3-8CD444C37D9B}" name="tranche 3" dataDxfId="4" dataCellStyle="Normal 2"/>
    <tableColumn id="6" xr3:uid="{F0FC8FD2-C440-41D6-B599-51194579714E}" name="tranche 4" dataDxfId="3" dataCellStyle="Normal 2"/>
    <tableColumn id="7" xr3:uid="{E06DB886-A90D-45C6-9333-8E9D00591797}" name="tranche 5" dataDxfId="2" dataCellStyle="Normal 2"/>
    <tableColumn id="8" xr3:uid="{A0EABF22-ADCC-43DB-BBAA-EF7EBC0B1466}" name="tranche 6" dataDxfId="1" dataCellStyle="Normal 2"/>
    <tableColumn id="9" xr3:uid="{EE14E3E0-5105-4DA5-AFE1-39040172A1D2}" name="tranche 7" dataDxfId="0" dataCellStyle="Normal 2"/>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2769E1-C818-475E-A67E-24AABEFDE7C7}" name="ohdgx" displayName="ohdgx" ref="C1:C4" totalsRowShown="0" headerRowDxfId="148" headerRowBorderDxfId="147" tableBorderDxfId="146">
  <autoFilter ref="C1:C4" xr:uid="{022769E1-C818-475E-A67E-24AABEFDE7C7}"/>
  <tableColumns count="1">
    <tableColumn id="1" xr3:uid="{D6B75AD3-3EB5-484D-B001-4117C3EB39E9}" name="ohdgx"/>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012224-7669-4F38-85AF-94711358625A}" name="Tableau1" displayName="Tableau1" ref="E1:E4" totalsRowShown="0">
  <autoFilter ref="E1:E4" xr:uid="{6F012224-7669-4F38-85AF-94711358625A}"/>
  <tableColumns count="1">
    <tableColumn id="1" xr3:uid="{71F6E3D1-908A-4D7C-848B-BB0EDBDA4022}" name="Marchandis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47D823-D933-4620-BAFA-95DE0B7DCDF4}" name="Tableau15" displayName="Tableau15" ref="A21:Y22" totalsRowShown="0" headerRowDxfId="145" dataDxfId="144" headerRowCellStyle="Normal 2" dataCellStyle="Normal 2">
  <autoFilter ref="A21:Y22" xr:uid="{3C190F7E-BA00-4AB8-A2C7-82B5CC61FD85}"/>
  <tableColumns count="25">
    <tableColumn id="1" xr3:uid="{DB59422E-90EC-4497-BB66-CA490FC76FA4}" name="Nombre de _x000a_conteneur" dataDxfId="143"/>
    <tableColumn id="9" xr3:uid="{A0EE6CD6-E651-4E10-AD8D-65B773374DB5}" name="Taille" dataDxfId="142"/>
    <tableColumn id="10" xr3:uid="{2682D38C-EBA8-4B65-BD43-EA8040E7E3C7}" name="Type_x000a_OH/DGX" dataDxfId="141"/>
    <tableColumn id="2" xr3:uid="{3D48E48E-711A-4874-A7CA-90357DE61A01}" name="Date début_x000a_'Débarquement'" dataDxfId="140"/>
    <tableColumn id="3" xr3:uid="{ABE3FFD6-C09C-4058-9D07-954B78E35CB7}" name="Date fin_x000a_'Livraison'" dataDxfId="139"/>
    <tableColumn id="23" xr3:uid="{B7A74BA1-25AA-4C42-9340-01DE9B5C3CA1}" name="20/40OH" dataDxfId="138">
      <calculatedColumnFormula>IF(OR(Tableau15[[#This Row],[Type
OH/DGX]]="DGX",Tableau15[[#This Row],[Type
OH/DGX]]="OH"),CONCATENATE(Tableau15[[#This Row],[Taille]]," ohdgx"),Tableau15[[#This Row],[Taille]])</calculatedColumnFormula>
    </tableColumn>
    <tableColumn id="11" xr3:uid="{2509F843-CDCB-408A-9AB3-0AE047E66A1B}" name="Nombre_x000a_jours_x000a_total" dataDxfId="137">
      <calculatedColumnFormula>IF(Tableau15[[#This Row],[Nombre de 
conteneur]]=0,0,Tableau15[[#This Row],[Date fin
''Livraison'']]-Tableau15[[#This Row],[Date début
''Débarquement'']]+1)</calculatedColumnFormula>
    </tableColumn>
    <tableColumn id="12" xr3:uid="{FFA37845-97D8-4284-A618-52422FCD1A0B}" name="Tranche 1_x000a_import_x000a_nb jour" dataDxfId="136" dataCellStyle="Normal 2">
      <calculatedColumnFormula>IF(Tableau15[[#This Row],[Nombre
jours
total]]&lt;=G$14,Tableau15[[#This Row],[Nombre
jours
total]],G$14)</calculatedColumnFormula>
    </tableColumn>
    <tableColumn id="4" xr3:uid="{A374E362-13F1-4E74-A14B-39D1AADECC08}" name="Tranche 1_x000a_Import_x000a_coût" dataDxfId="135" dataCellStyle="Normal 2">
      <calculatedColumnFormula>IFERROR(VLOOKUP(Tableau15[[#This Row],[20/40OH]],Tableau6[[20/40OH]:[tranche 8]],2,FALSE)*Tableau15[[#This Row],[Tranche 1
import
nb jour]]*Tableau15[[#This Row],[Nombre de 
conteneur]],0)</calculatedColumnFormula>
    </tableColumn>
    <tableColumn id="13" xr3:uid="{90B238DC-4D12-4AF1-9A88-98AB7120D042}" name="Tranche 2_x000a_import_x000a_nb jour" dataDxfId="134" dataCellStyle="Normal 2">
      <calculatedColumnFormula>IF(AND(Tableau15[[#This Row],[Nombre
jours
total]]&gt;=H$13,Tableau15[[#This Row],[Nombre
jours
total]]&lt;=H$14),Tableau15[[#This Row],[Nombre
jours
total]]-H$13+1,IF(Tableau15[[#This Row],[Nombre
jours
total]]&lt;H$13,0,IF(Tableau15[[#This Row],[Nombre
jours
total]]&gt;H$14,H$14-H$13+1)))</calculatedColumnFormula>
    </tableColumn>
    <tableColumn id="5" xr3:uid="{F6907283-EDC3-4F90-ABEC-CED0A9070239}" name="Tranche 2_x000a_Import_x000a_coût" dataDxfId="133" dataCellStyle="Normal 2">
      <calculatedColumnFormula>IFERROR(VLOOKUP(Tableau15[[#This Row],[20/40OH]],Tableau6[[20/40OH]:[tranche 8]],3,FALSE)*Tableau15[[#This Row],[Tranche 2
import
nb jour]]*Tableau15[[#This Row],[Nombre de 
conteneur]],0)</calculatedColumnFormula>
    </tableColumn>
    <tableColumn id="14" xr3:uid="{E4895AAF-D5E3-46ED-938E-2C1F9E700F32}" name="Tranche 3_x000a_import_x000a_nb jour" dataDxfId="132" dataCellStyle="Normal 2">
      <calculatedColumnFormula>IF(AND(Tableau15[[#This Row],[Nombre
jours
total]]&gt;=I$13,Tableau15[[#This Row],[Nombre
jours
total]]&lt;=I$14),Tableau15[[#This Row],[Nombre
jours
total]]-I$13+1,IF(Tableau15[[#This Row],[Nombre
jours
total]]&lt;I$13,0,IF(Tableau15[[#This Row],[Nombre
jours
total]]&gt;I$14,I$14-I$13+1)))</calculatedColumnFormula>
    </tableColumn>
    <tableColumn id="6" xr3:uid="{425A3024-8EF4-432B-B53B-44F2DFB6C57B}" name="Tranche 3_x000a_Import_x000a_coût" dataDxfId="131" dataCellStyle="Normal 2">
      <calculatedColumnFormula>IFERROR(VLOOKUP(Tableau15[[#This Row],[20/40OH]],Tableau6[[20/40OH]:[tranche 8]],4,FALSE)*Tableau15[[#This Row],[Tranche 3
import
nb jour]]*Tableau15[[#This Row],[Nombre de 
conteneur]],0)</calculatedColumnFormula>
    </tableColumn>
    <tableColumn id="15" xr3:uid="{1084F584-9055-4482-A455-B85B4540E96A}" name="Tranche 4_x000a_import_x000a_nb jour" dataDxfId="130" dataCellStyle="Normal 2">
      <calculatedColumnFormula>IF(AND(Tableau15[[#This Row],[Nombre
jours
total]]&gt;=J$13,Tableau15[[#This Row],[Nombre
jours
total]]&lt;=J$14),Tableau15[[#This Row],[Nombre
jours
total]]-J$13+1,IF(Tableau15[[#This Row],[Nombre
jours
total]]&lt;J$13,0,IF(Tableau15[[#This Row],[Nombre
jours
total]]&gt;J$14,J$14-J$13+1)))</calculatedColumnFormula>
    </tableColumn>
    <tableColumn id="7" xr3:uid="{062B205B-9E39-4069-8464-9AE473517E12}" name="Tranche 4_x000a_Import_x000a_coût" dataDxfId="129" dataCellStyle="Normal 2">
      <calculatedColumnFormula>IFERROR(VLOOKUP(Tableau15[[#This Row],[20/40OH]],Tableau6[[20/40OH]:[tranche 8]],5,FALSE)*Tableau15[[#This Row],[Tranche 4
import
nb jour]]*Tableau15[[#This Row],[Nombre de 
conteneur]],0)</calculatedColumnFormula>
    </tableColumn>
    <tableColumn id="16" xr3:uid="{E80B82F9-C4E3-4FF5-8263-60530FFC731C}" name="Tranche 5_x000a_import_x000a_nb jour" dataDxfId="128" dataCellStyle="Normal 2">
      <calculatedColumnFormula>IF(AND(Tableau15[[#This Row],[Nombre
jours
total]]&gt;=K$13,Tableau15[[#This Row],[Nombre
jours
total]]&lt;=K$14),Tableau15[[#This Row],[Nombre
jours
total]]-K$13+1,IF(Tableau15[[#This Row],[Nombre
jours
total]]&lt;K$13,0,IF(Tableau15[[#This Row],[Nombre
jours
total]]&gt;K$14,K$14-K$13+1)))</calculatedColumnFormula>
    </tableColumn>
    <tableColumn id="8" xr3:uid="{68C6A0BC-BA82-4AF7-960A-E887B36ECBC6}" name="Tranche 5_x000a_Import_x000a_coût" dataDxfId="127" dataCellStyle="Normal 2">
      <calculatedColumnFormula>IFERROR(VLOOKUP(Tableau15[[#This Row],[20/40OH]],Tableau6[[20/40OH]:[tranche 8]],6,FALSE)*Tableau15[[#This Row],[Tranche 5
import
nb jour]]*Tableau15[[#This Row],[Nombre de 
conteneur]],0)</calculatedColumnFormula>
    </tableColumn>
    <tableColumn id="17" xr3:uid="{D72A69AF-E166-4A5B-9FA3-ABEF790B281E}" name="Tranche 6_x000a_import_x000a_nb jour" dataDxfId="126" dataCellStyle="Normal 2">
      <calculatedColumnFormula>IF(AND(Tableau15[[#This Row],[Nombre
jours
total]]&gt;=L$13,Tableau15[[#This Row],[Nombre
jours
total]]&lt;=L$14),Tableau15[[#This Row],[Nombre
jours
total]]-L$13+1,IF(Tableau15[[#This Row],[Nombre
jours
total]]&lt;L$13,0,IF(Tableau15[[#This Row],[Nombre
jours
total]]&gt;L$14,L$14-L$13+1)))</calculatedColumnFormula>
    </tableColumn>
    <tableColumn id="20" xr3:uid="{A1E5DAC1-E90A-45A2-825D-67F4526945A7}" name="Tranche 6_x000a_Import_x000a_coût" dataDxfId="125" dataCellStyle="Normal 2">
      <calculatedColumnFormula>IFERROR(VLOOKUP(Tableau15[[#This Row],[20/40OH]],Tableau6[[20/40OH]:[tranche 8]],7,FALSE)*Tableau15[[#This Row],[Tranche 6
import
nb jour]]*Tableau15[[#This Row],[Nombre de 
conteneur]],0)</calculatedColumnFormula>
    </tableColumn>
    <tableColumn id="18" xr3:uid="{0DF1B56D-F4F9-4BC2-B502-C10B98F078D0}" name="Tranche 7_x000a_import_x000a_nb jour" dataDxfId="124" dataCellStyle="Normal 2">
      <calculatedColumnFormula>IF(AND(Tableau15[[#This Row],[Nombre
jours
total]]&gt;=M$13,Tableau15[[#This Row],[Nombre
jours
total]]&lt;=M$14),Tableau15[[#This Row],[Nombre
jours
total]]-M$13+1,IF(Tableau15[[#This Row],[Nombre
jours
total]]&lt;M$13,0,IF(Tableau15[[#This Row],[Nombre
jours
total]]&gt;M$14,M$14-M$13+1)))</calculatedColumnFormula>
    </tableColumn>
    <tableColumn id="24" xr3:uid="{756E4B1E-A736-4D7D-A1AF-3495497DFBB3}" name="Tranche 7_x000a_Import_x000a_coût" dataDxfId="123" dataCellStyle="Normal 2">
      <calculatedColumnFormula>IFERROR(VLOOKUP(Tableau15[[#This Row],[20/40OH]],Tableau6[[20/40OH]:[tranche 8]],8,FALSE)*Tableau15[[#This Row],[Tranche 7
import
nb jour]]*Tableau15[[#This Row],[Nombre de 
conteneur]],0)</calculatedColumnFormula>
    </tableColumn>
    <tableColumn id="19" xr3:uid="{DAF23C75-9DC8-4C75-998D-45A24E7525F4}" name="Tranche 8_x000a_import_x000a_nb jour" dataDxfId="122" dataCellStyle="Normal 2">
      <calculatedColumnFormula>IF(AND(Tableau15[[#This Row],[Nombre
jours
total]]&gt;=N$13,Tableau15[[#This Row],[Nombre
jours
total]]&lt;=N$14),Tableau15[[#This Row],[Nombre
jours
total]]-N$13+1,IF(Tableau15[[#This Row],[Nombre
jours
total]]&lt;N$13,0,IF(Tableau15[[#This Row],[Nombre
jours
total]]&gt;N$14,N$14-N$13+1)))</calculatedColumnFormula>
    </tableColumn>
    <tableColumn id="25" xr3:uid="{E0854190-20B8-4F6F-B92B-E7BCE31429FF}" name="Tranche 8_x000a_Import_x000a_coût" dataDxfId="121" dataCellStyle="Normal 2">
      <calculatedColumnFormula>IFERROR(VLOOKUP(Tableau15[[#This Row],[20/40OH]],Tableau6[[20/40OH]:[tranche 8]],9,FALSE)*Tableau15[[#This Row],[Tranche 8
import
nb jour]]*Tableau15[[#This Row],[Nombre de 
conteneur]],0)</calculatedColumnFormula>
    </tableColumn>
    <tableColumn id="26" xr3:uid="{4E2D9445-D31D-4BEE-9A85-CE7693653101}" name="Total_x000a_Stationnement" dataDxfId="120" dataCellStyle="Normal 2">
      <calculatedColumnFormula>+Tableau15[[#This Row],[Tranche 8
Import
coût]]+Tableau15[[#This Row],[Tranche 7
Import
coût]]+Tableau15[[#This Row],[Tranche 6
Import
coût]]+Tableau15[[#This Row],[Tranche 5
Import
coût]]+Tableau15[[#This Row],[Tranche 4
Import
coût]]+Tableau15[[#This Row],[Tranche 3
Import
coût]]+Tableau15[[#This Row],[Tranche 2
Import
coût]]</calculatedColumnFormula>
    </tableColumn>
    <tableColumn id="21" xr3:uid="{12BA21BD-6D4E-4A9B-9DB7-F11DE784D158}" name="Contrôle_x000a_jours" dataDxfId="119">
      <calculatedColumnFormula>+Tableau15[[#This Row],[Tranche 8
import
nb jour]]+Tableau15[[#This Row],[Tranche 7
import
nb jour]]+Tableau15[[#This Row],[Tranche 6
import
nb jour]]+Tableau15[[#This Row],[Tranche 5
import
nb jour]]+Tableau15[[#This Row],[Tranche 4
import
nb jour]]+Tableau15[[#This Row],[Tranche 3
import
nb jour]]+Tableau15[[#This Row],[Tranche 2
import
nb jour]]+Tableau15[[#This Row],[Tranche 1
import
nb jour]]-Tableau15[[#This Row],[Nombre
jours
total]]</calculatedColumnFormula>
    </tableColumn>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6973159-7BFD-4030-9BB4-4D83ADE3DCBF}" name="Tableau6" displayName="Tableau6" ref="D6:N15" totalsRowShown="0" headerRowDxfId="118" dataDxfId="117" dataCellStyle="Normal 2">
  <autoFilter ref="D6:N15" xr:uid="{A6973159-7BFD-4030-9BB4-4D83ADE3DCBF}"/>
  <tableColumns count="11">
    <tableColumn id="14" xr3:uid="{524D4F23-E887-4E8B-849A-A827CD4AD20F}" name="Taille" dataDxfId="116" dataCellStyle="Normal 2"/>
    <tableColumn id="13" xr3:uid="{EB2AAF58-BF18-425D-8CF1-DEB592670FC4}" name="Type" dataDxfId="115" dataCellStyle="Normal 2"/>
    <tableColumn id="1" xr3:uid="{7AEE0A85-F9E9-4AE3-80B6-BB4F94CD88D5}" name="20/40OH" dataDxfId="114"/>
    <tableColumn id="3" xr3:uid="{179A3D1A-17E9-45FB-892F-92048CCC9638}" name="tranche 1" dataDxfId="113" dataCellStyle="Normal 2"/>
    <tableColumn id="4" xr3:uid="{0A203911-65AD-4010-83E9-A5AC8DD47134}" name="tranche 2" dataDxfId="112" dataCellStyle="Normal 2"/>
    <tableColumn id="5" xr3:uid="{8721E506-298E-463A-A7B1-0CBBAA7E33C4}" name="tranche 3" dataDxfId="111" dataCellStyle="Normal 2"/>
    <tableColumn id="6" xr3:uid="{4765DC72-2F2E-432D-BEEF-7884471B9BB5}" name="tranche 4" dataDxfId="110" dataCellStyle="Normal 2"/>
    <tableColumn id="7" xr3:uid="{81016EAF-3988-478B-8EA0-430BA79ADD46}" name="tranche 5" dataDxfId="109" dataCellStyle="Normal 2"/>
    <tableColumn id="8" xr3:uid="{9E02919D-5FF8-42FB-A0B8-46327EB35422}" name="tranche 6" dataDxfId="108" dataCellStyle="Normal 2"/>
    <tableColumn id="9" xr3:uid="{5D9E746D-06C0-47D1-A52B-169D07B298E5}" name="tranche 7" dataDxfId="107" dataCellStyle="Normal 2"/>
    <tableColumn id="10" xr3:uid="{38715F50-2812-406E-A4F3-4E29F60E7368}" name="tranche 8" dataDxfId="106" dataCellStyle="Normal 2"/>
  </tableColumns>
  <tableStyleInfo name="TableStyleMedium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0743BA6-2B64-455E-8163-E45E425DBC75}" name="Tableau1510" displayName="Tableau1510" ref="A18:T19" totalsRowShown="0" headerRowDxfId="105" dataDxfId="104" headerRowCellStyle="Normal 2" dataCellStyle="Normal 2">
  <autoFilter ref="A18:T19" xr:uid="{3C190F7E-BA00-4AB8-A2C7-82B5CC61FD85}"/>
  <tableColumns count="20">
    <tableColumn id="1" xr3:uid="{ADA8C2D1-5554-4E8B-9483-1A644713CF1A}" name="Nombre de _x000a_marchandises" dataDxfId="103"/>
    <tableColumn id="9" xr3:uid="{BAF35CED-8853-4115-8382-404B93BFABC9}" name="Type" dataDxfId="102"/>
    <tableColumn id="2" xr3:uid="{C3132167-8E11-4A8B-B49E-75583D802FA7}" name="Date début_x000a_'Débarquement'" dataDxfId="101"/>
    <tableColumn id="3" xr3:uid="{9F407B86-615C-44CC-87A5-C94F27B0937E}" name="Date fin_x000a_'Livraison'" dataDxfId="100"/>
    <tableColumn id="11" xr3:uid="{C9E05E9C-5D06-426E-BA06-C3A12B783755}" name="Nombre_x000a_jours_x000a_total" dataDxfId="99">
      <calculatedColumnFormula>+IF(Tableau1510[[#This Row],[Nombre de 
marchandises]]="",0,Tableau1510[[#This Row],[Date fin
''Livraison'']]-Tableau1510[[#This Row],[Date début
''Débarquement'']]+1)</calculatedColumnFormula>
    </tableColumn>
    <tableColumn id="12" xr3:uid="{E762DB07-67BF-4717-AC98-D377D7F71CB9}" name="Tranche 1_x000a_import_x000a_nb jour" dataDxfId="98" dataCellStyle="Normal 2">
      <calculatedColumnFormula>IF(Tableau1510[[#This Row],[Nombre
jours
total]]&lt;=F$11,Tableau1510[[#This Row],[Nombre
jours
total]],F$11)</calculatedColumnFormula>
    </tableColumn>
    <tableColumn id="4" xr3:uid="{3CE05535-C7AE-4075-A81E-32B90F468573}" name="Tranche 1_x000a_Import_x000a_coût" dataDxfId="97" dataCellStyle="Normal 2">
      <calculatedColumnFormula>IFERROR(VLOOKUP(Tableau1510[[#This Row],[Type]],Tableau611[],3,FALSE)*Tableau1510[[#This Row],[Tranche 1
import
nb jour]]*Tableau1510[[#This Row],[Nombre de 
marchandises]],0)</calculatedColumnFormula>
    </tableColumn>
    <tableColumn id="13" xr3:uid="{471C02D1-7C0A-42B7-8275-7A13A1DA733C}" name="Tranche 2_x000a_import_x000a_nb jour" dataDxfId="96" dataCellStyle="Normal 2">
      <calculatedColumnFormula>IF(AND(Tableau1510[[#This Row],[Nombre
jours
total]]&gt;=G$10,Tableau1510[[#This Row],[Nombre
jours
total]]&lt;=G$11),Tableau1510[[#This Row],[Nombre
jours
total]]-G$10+1,IF(Tableau1510[[#This Row],[Nombre
jours
total]]&lt;G$10,0,IF(Tableau1510[[#This Row],[Nombre
jours
total]]&gt;G$11,G$11-G$10+1)))</calculatedColumnFormula>
    </tableColumn>
    <tableColumn id="5" xr3:uid="{2263D092-5E0D-40F0-AAB7-75A492BD6A53}" name="Tranche 2_x000a_Import_x000a_coût" dataDxfId="95" dataCellStyle="Normal 2">
      <calculatedColumnFormula>IFERROR(VLOOKUP(Tableau1510[[#This Row],[Type]],Tableau611[],4,FALSE)*Tableau1510[[#This Row],[Tranche 2
import
nb jour]]*Tableau1510[[#This Row],[Nombre de 
marchandises]],0)</calculatedColumnFormula>
    </tableColumn>
    <tableColumn id="14" xr3:uid="{D16F7312-0B96-49B1-85B0-A1C9AA4FCDE4}" name="Tranche 3_x000a_import_x000a_nb jour" dataDxfId="94" dataCellStyle="Normal 2">
      <calculatedColumnFormula>IF(AND(Tableau1510[[#This Row],[Nombre
jours
total]]&gt;=H$10,Tableau1510[[#This Row],[Nombre
jours
total]]&lt;=H$11),Tableau1510[[#This Row],[Nombre
jours
total]]-H$10+1,IF(Tableau1510[[#This Row],[Nombre
jours
total]]&lt;H$10,0,IF(Tableau1510[[#This Row],[Nombre
jours
total]]&gt;H$11,H$11-H$10+1)))</calculatedColumnFormula>
    </tableColumn>
    <tableColumn id="6" xr3:uid="{54F94A4D-B77B-41EA-BA43-73AFFC008DA4}" name="Tranche 3_x000a_Import_x000a_coût" dataDxfId="93" dataCellStyle="Normal 2">
      <calculatedColumnFormula>IFERROR(VLOOKUP(Tableau1510[[#This Row],[Type]],Tableau611[],5,FALSE)*Tableau1510[[#This Row],[Tranche 3
import
nb jour]]*Tableau1510[[#This Row],[Nombre de 
marchandises]],0)</calculatedColumnFormula>
    </tableColumn>
    <tableColumn id="15" xr3:uid="{89E472BF-B5CD-4D4D-98F6-2C11226E9B64}" name="Tranche 4_x000a_import_x000a_nb jour" dataDxfId="92" dataCellStyle="Normal 2">
      <calculatedColumnFormula>IF(AND(Tableau1510[[#This Row],[Nombre
jours
total]]&gt;=I$10,Tableau1510[[#This Row],[Nombre
jours
total]]&lt;=I$11),Tableau1510[[#This Row],[Nombre
jours
total]]-I$10+1,IF(Tableau1510[[#This Row],[Nombre
jours
total]]&lt;I$10,0,IF(Tableau1510[[#This Row],[Nombre
jours
total]]&gt;I$11,I$11-I$10+1)))</calculatedColumnFormula>
    </tableColumn>
    <tableColumn id="7" xr3:uid="{C3C6240C-696A-4A93-9786-ECCA248BD793}" name="Tranche 4_x000a_Import_x000a_coût" dataDxfId="91" dataCellStyle="Normal 2">
      <calculatedColumnFormula>IFERROR(VLOOKUP(Tableau1510[[#This Row],[Type]],Tableau611[],6,FALSE)*Tableau1510[[#This Row],[Tranche 4
import
nb jour]]*Tableau1510[[#This Row],[Nombre de 
marchandises]],0)</calculatedColumnFormula>
    </tableColumn>
    <tableColumn id="16" xr3:uid="{3BF5D896-2D08-4BBC-86DF-1C82D70762C2}" name="Tranche 5_x000a_import_x000a_nb jour" dataDxfId="90" dataCellStyle="Normal 2">
      <calculatedColumnFormula>IF(AND(Tableau1510[[#This Row],[Nombre
jours
total]]&gt;=J$10,Tableau1510[[#This Row],[Nombre
jours
total]]&lt;=J$11),Tableau1510[[#This Row],[Nombre
jours
total]]-J$10+1,IF(Tableau1510[[#This Row],[Nombre
jours
total]]&lt;J$10,0,IF(Tableau1510[[#This Row],[Nombre
jours
total]]&gt;J$11,J$11-J$10+1)))</calculatedColumnFormula>
    </tableColumn>
    <tableColumn id="8" xr3:uid="{D43CDA62-7D03-4EE9-BA2A-BD583890B96A}" name="Tranche 5_x000a_Import_x000a_coût" dataDxfId="89" dataCellStyle="Normal 2">
      <calculatedColumnFormula>IFERROR(VLOOKUP(Tableau1510[[#This Row],[Type]],Tableau611[],7,FALSE)*Tableau1510[[#This Row],[Tranche 5
import
nb jour]]*Tableau1510[[#This Row],[Nombre de 
marchandises]],0)</calculatedColumnFormula>
    </tableColumn>
    <tableColumn id="17" xr3:uid="{8635A27B-6551-4B0F-9CB0-E8F38AD790C2}" name="Tranche 6_x000a_import_x000a_nb jour" dataDxfId="88" dataCellStyle="Normal 2">
      <calculatedColumnFormula>IF(AND(Tableau1510[[#This Row],[Nombre
jours
total]]&gt;=K$10,Tableau1510[[#This Row],[Nombre
jours
total]]&lt;=K$11),Tableau1510[[#This Row],[Nombre
jours
total]]-K$10+1,IF(Tableau1510[[#This Row],[Nombre
jours
total]]&lt;K$10,0,IF(Tableau1510[[#This Row],[Nombre
jours
total]]&gt;K$11,K$11-K$10+1)))</calculatedColumnFormula>
    </tableColumn>
    <tableColumn id="20" xr3:uid="{FA48B4F5-BD36-4688-9BE0-EFF13DE9661E}" name="Tranche 6_x000a_Import_x000a_coût" dataDxfId="87" dataCellStyle="Normal 2">
      <calculatedColumnFormula>IFERROR(VLOOKUP(Tableau1510[[#This Row],[Type]],Tableau611[],8,FALSE)*Tableau1510[[#This Row],[Tranche 6
import
nb jour]]*Tableau1510[[#This Row],[Nombre de 
marchandises]],0)</calculatedColumnFormula>
    </tableColumn>
    <tableColumn id="18" xr3:uid="{8F954840-632C-487F-ABCF-0CE83AEA4BFB}" name="Tranche 7_x000a_import_x000a_nb jour" dataDxfId="86" dataCellStyle="Normal 2">
      <calculatedColumnFormula>IF(AND(Tableau1510[[#This Row],[Nombre
jours
total]]&gt;=L$10,Tableau1510[[#This Row],[Nombre
jours
total]]&lt;=L$11),Tableau1510[[#This Row],[Nombre
jours
total]]-L$10+1,IF(Tableau1510[[#This Row],[Nombre
jours
total]]&lt;L$10,0,IF(Tableau1510[[#This Row],[Nombre
jours
total]]&gt;L$11,L$11-L$10+1)))</calculatedColumnFormula>
    </tableColumn>
    <tableColumn id="24" xr3:uid="{51C9335C-013A-4855-A56E-6756918E64D5}" name="Tranche 7_x000a_Import_x000a_coût" dataDxfId="85" dataCellStyle="Normal 2">
      <calculatedColumnFormula>IFERROR(VLOOKUP(Tableau1510[[#This Row],[Type]],Tableau611[],9,FALSE)*Tableau1510[[#This Row],[Tranche 6
import
nb jour]]*Tableau1510[[#This Row],[Nombre de 
marchandises]],0)</calculatedColumnFormula>
    </tableColumn>
    <tableColumn id="26" xr3:uid="{4A050425-F5A0-4B7E-AF56-1628BE76C815}" name="Total_x000a_Stationnement" dataDxfId="84" dataCellStyle="Normal 2">
      <calculatedColumnFormula>+Tableau1510[[#This Row],[Tranche 7
Import
coût]]+Tableau1510[[#This Row],[Tranche 6
Import
coût]]+Tableau1510[[#This Row],[Tranche 5
Import
coût]]+Tableau1510[[#This Row],[Tranche 4
Import
coût]]+Tableau1510[[#This Row],[Tranche 3
Import
coût]]+Tableau1510[[#This Row],[Tranche 2
Import
coût]]+Tableau1510[[#This Row],[Tranche 1
Import
coût]]</calculatedColumnFormula>
    </tableColumn>
  </tableColumns>
  <tableStyleInfo name="TableStyleMedium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F115D78-F919-4503-832B-D23460EF8CCF}" name="Tableau611" displayName="Tableau611" ref="D6:L12" totalsRowShown="0" headerRowDxfId="83" dataDxfId="82" dataCellStyle="Normal 2">
  <autoFilter ref="D6:L12" xr:uid="{A6973159-7BFD-4030-9BB4-4D83ADE3DCBF}"/>
  <tableColumns count="9">
    <tableColumn id="14" xr3:uid="{7780DCC5-6A6D-41BF-9F15-8F106C61FD8F}" name="Type" dataDxfId="81" dataCellStyle="Normal 2"/>
    <tableColumn id="13" xr3:uid="{7F51F0EE-F4B5-4F2B-8428-B11BC63DD71D}" name="Type2" dataDxfId="80" dataCellStyle="Normal 2"/>
    <tableColumn id="3" xr3:uid="{6D847767-371C-46B6-B51F-3B10C9D07834}" name="tranche 1" dataDxfId="79" dataCellStyle="Normal 2"/>
    <tableColumn id="4" xr3:uid="{16F8B989-866D-4D32-BED1-3080CB628E55}" name="tranche 2" dataDxfId="78" dataCellStyle="Normal 2"/>
    <tableColumn id="5" xr3:uid="{50FD5C46-560B-4715-A619-AF0EADED8545}" name="tranche 3" dataDxfId="77" dataCellStyle="Normal 2"/>
    <tableColumn id="6" xr3:uid="{8806F82B-593D-41F2-8350-002D1D88407F}" name="tranche 4" dataDxfId="76" dataCellStyle="Normal 2"/>
    <tableColumn id="7" xr3:uid="{2C1D464F-5988-49DE-837D-D13792C7ABC6}" name="tranche 5" dataDxfId="75" dataCellStyle="Normal 2"/>
    <tableColumn id="8" xr3:uid="{653E1DB9-6B54-40D0-99B3-243EA6922092}" name="tranche 6" dataDxfId="74" dataCellStyle="Normal 2"/>
    <tableColumn id="9" xr3:uid="{8FD9CD28-0134-4621-9C18-186B17EBA0BF}" name="tranche 7" dataDxfId="73" dataCellStyle="Normal 2"/>
  </tableColumns>
  <tableStyleInfo name="TableStyleMedium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615FA15-1C47-400D-BC06-8EF89EE7F36F}" name="Tableau158" displayName="Tableau158" ref="A21:Y22" totalsRowShown="0" headerRowDxfId="72" dataDxfId="71" headerRowCellStyle="Normal 2" dataCellStyle="Normal 2">
  <autoFilter ref="A21:Y22" xr:uid="{3C190F7E-BA00-4AB8-A2C7-82B5CC61FD85}"/>
  <tableColumns count="25">
    <tableColumn id="1" xr3:uid="{B8A590A5-A044-42AC-8E02-5ED0DCBAD1A5}" name="Nombre de _x000a_conteneur" dataDxfId="70"/>
    <tableColumn id="9" xr3:uid="{8D4785B5-BFA0-46A1-8430-D564E188E93F}" name="Taille" dataDxfId="69"/>
    <tableColumn id="10" xr3:uid="{C8549E4B-E50D-4F88-B8C5-24A9CEC2E967}" name="Type_x000a_OH/DGX" dataDxfId="68"/>
    <tableColumn id="2" xr3:uid="{91F7D1CC-5E32-4D86-9C17-243C3C7E23DB}" name="Date début_x000a_'Réception'" dataDxfId="67"/>
    <tableColumn id="3" xr3:uid="{4D4A4B3E-ECDA-4523-99E3-4B22671F2C93}" name="Date fin_x000a_'Embarquement'" dataDxfId="66"/>
    <tableColumn id="23" xr3:uid="{ECF61D36-F519-42DE-B9DE-A7AFF3AE7EA5}" name="20/40OH" dataDxfId="65">
      <calculatedColumnFormula>IF(OR(Tableau158[[#This Row],[Type
OH/DGX]]="DGX",Tableau158[[#This Row],[Type
OH/DGX]]="OH"),CONCATENATE(Tableau158[[#This Row],[Taille]]," ohdgx"),Tableau158[[#This Row],[Taille]])</calculatedColumnFormula>
    </tableColumn>
    <tableColumn id="11" xr3:uid="{1A86246B-1B3A-45CE-B3DD-2A52A45FFADF}" name="Nombre_x000a_jours_x000a_total" dataDxfId="64">
      <calculatedColumnFormula>+IF(Tableau158[[#This Row],[Nombre de 
conteneur]]="",0,Tableau158[[#This Row],[Date fin
''Embarquement'']]-Tableau158[[#This Row],[Date début
''Réception'']]+1)</calculatedColumnFormula>
    </tableColumn>
    <tableColumn id="12" xr3:uid="{524F7C1C-B09D-443A-8D93-7C42B6C825BE}" name="Tranche 1_x000a_export_x000a_nb jour" dataDxfId="63" dataCellStyle="Normal 2">
      <calculatedColumnFormula>IF(Tableau158[[#This Row],[Nombre
jours
total]]&lt;=G$14,Tableau158[[#This Row],[Nombre
jours
total]],G$14)</calculatedColumnFormula>
    </tableColumn>
    <tableColumn id="4" xr3:uid="{5E931687-3116-43DD-AFC4-6A7543BA84AE}" name="Tranche 1_x000a_export_x000a_coût" dataDxfId="62" dataCellStyle="Normal 2">
      <calculatedColumnFormula>IFERROR(VLOOKUP(Tableau158[[#This Row],[20/40OH]],Tableau69[[20/40OH]:[tranche 8]],2,FALSE)*Tableau158[[#This Row],[Tranche 1
export
nb jour]]*Tableau158[[#This Row],[Nombre de 
conteneur]],0)</calculatedColumnFormula>
    </tableColumn>
    <tableColumn id="13" xr3:uid="{3B3CC846-79C2-4B8B-B4EC-798E5497D7D2}" name="Tranche 2_x000a_export_x000a_nb jour" dataDxfId="61" dataCellStyle="Normal 2">
      <calculatedColumnFormula>IF(AND(Tableau158[[#This Row],[Nombre
jours
total]]&gt;=H$13,Tableau158[[#This Row],[Nombre
jours
total]]&lt;=H$14),Tableau158[[#This Row],[Nombre
jours
total]]-H$13+1,IF(Tableau158[[#This Row],[Nombre
jours
total]]&lt;H$13,0,IF(Tableau158[[#This Row],[Nombre
jours
total]]&gt;H$14,H$14-H$13+1)))</calculatedColumnFormula>
    </tableColumn>
    <tableColumn id="5" xr3:uid="{93A04291-7BBA-4838-933E-772FE7A512A2}" name="Tranche 2_x000a_export_x000a_coût" dataDxfId="60" dataCellStyle="Normal 2">
      <calculatedColumnFormula>IFERROR(VLOOKUP(Tableau158[[#This Row],[20/40OH]],Tableau69[[20/40OH]:[tranche 8]],3,FALSE)*Tableau158[[#This Row],[Tranche 2
export
nb jour]]*Tableau158[[#This Row],[Nombre de 
conteneur]],0)</calculatedColumnFormula>
    </tableColumn>
    <tableColumn id="14" xr3:uid="{6969855E-B567-4CFF-B54E-DA6582D80EB2}" name="Tranche 3_x000a_export_x000a_nb jour" dataDxfId="59" dataCellStyle="Normal 2">
      <calculatedColumnFormula>IF(AND(Tableau158[[#This Row],[Nombre
jours
total]]&gt;=I$13,Tableau158[[#This Row],[Nombre
jours
total]]&lt;=I$14),Tableau158[[#This Row],[Nombre
jours
total]]-I$13+1,IF(Tableau158[[#This Row],[Nombre
jours
total]]&lt;I$13,0,IF(Tableau158[[#This Row],[Nombre
jours
total]]&gt;I$14,I$14-I$13+1)))</calculatedColumnFormula>
    </tableColumn>
    <tableColumn id="6" xr3:uid="{E776DDA7-FC00-497D-972A-E5A16BE5009C}" name="Tranche 3_x000a_export_x000a_coût" dataDxfId="58" dataCellStyle="Normal 2">
      <calculatedColumnFormula>IFERROR(VLOOKUP(Tableau158[[#This Row],[20/40OH]],Tableau69[[20/40OH]:[tranche 8]],4,FALSE)*Tableau158[[#This Row],[Tranche 3
export
nb jour]]*Tableau158[[#This Row],[Nombre de 
conteneur]],0)</calculatedColumnFormula>
    </tableColumn>
    <tableColumn id="15" xr3:uid="{E9C30F13-F343-459C-B0F3-97EB74949652}" name="Tranche 4_x000a_export_x000a_nb jour" dataDxfId="57" dataCellStyle="Normal 2">
      <calculatedColumnFormula>IF(AND(Tableau158[[#This Row],[Nombre
jours
total]]&gt;=J$13,Tableau158[[#This Row],[Nombre
jours
total]]&lt;=J$14),Tableau158[[#This Row],[Nombre
jours
total]]-J$13+1,IF(Tableau158[[#This Row],[Nombre
jours
total]]&lt;J$13,0,IF(Tableau158[[#This Row],[Nombre
jours
total]]&gt;J$14,J$14-J$13+1)))</calculatedColumnFormula>
    </tableColumn>
    <tableColumn id="7" xr3:uid="{32E68A61-C789-45F5-A3E6-00FDB7C4B4B2}" name="Tranche 4_x000a_export_x000a_coût" dataDxfId="56" dataCellStyle="Normal 2">
      <calculatedColumnFormula>IFERROR(VLOOKUP(Tableau158[[#This Row],[20/40OH]],Tableau69[[20/40OH]:[tranche 8]],5,FALSE)*Tableau158[[#This Row],[Tranche 4
export
nb jour]]*Tableau158[[#This Row],[Nombre de 
conteneur]],0)</calculatedColumnFormula>
    </tableColumn>
    <tableColumn id="16" xr3:uid="{EDDB862C-E2C2-4DAA-AB5B-D3699FFCB077}" name="Tranche 5_x000a_export_x000a_nb jour" dataDxfId="55" dataCellStyle="Normal 2">
      <calculatedColumnFormula>IF(AND(Tableau158[[#This Row],[Nombre
jours
total]]&gt;=K$13,Tableau158[[#This Row],[Nombre
jours
total]]&lt;=K$14),Tableau158[[#This Row],[Nombre
jours
total]]-K$13+1,IF(Tableau158[[#This Row],[Nombre
jours
total]]&lt;K$13,0,IF(Tableau158[[#This Row],[Nombre
jours
total]]&gt;K$14,K$14-K$13+1)))</calculatedColumnFormula>
    </tableColumn>
    <tableColumn id="8" xr3:uid="{1C486355-B63C-4509-9626-D5B799FFE775}" name="Tranche 5_x000a_export_x000a_coût" dataDxfId="54" dataCellStyle="Normal 2">
      <calculatedColumnFormula>IFERROR(VLOOKUP(Tableau158[[#This Row],[20/40OH]],Tableau69[[20/40OH]:[tranche 8]],6,FALSE)*Tableau158[[#This Row],[Tranche 5
export
nb jour]]*Tableau158[[#This Row],[Nombre de 
conteneur]],0)</calculatedColumnFormula>
    </tableColumn>
    <tableColumn id="17" xr3:uid="{ABC5D104-0C3F-4460-9548-B1A2258FEDC6}" name="Tranche 6_x000a_export_x000a_nb jour" dataDxfId="53" dataCellStyle="Normal 2">
      <calculatedColumnFormula>IF(AND(Tableau158[[#This Row],[Nombre
jours
total]]&gt;=L$13,Tableau158[[#This Row],[Nombre
jours
total]]&lt;=L$14),Tableau158[[#This Row],[Nombre
jours
total]]-L$13+1,IF(Tableau158[[#This Row],[Nombre
jours
total]]&lt;L$13,0,IF(Tableau158[[#This Row],[Nombre
jours
total]]&gt;L$14,L$14-L$13+1)))</calculatedColumnFormula>
    </tableColumn>
    <tableColumn id="20" xr3:uid="{FE33E613-08E7-4A65-8427-E399F0AFB09E}" name="Tranche 6_x000a_export_x000a_coût" dataDxfId="52" dataCellStyle="Normal 2">
      <calculatedColumnFormula>IFERROR(VLOOKUP(Tableau158[[#This Row],[20/40OH]],Tableau69[[20/40OH]:[tranche 8]],7,FALSE)*Tableau158[[#This Row],[Tranche 6
export
nb jour]]*Tableau158[[#This Row],[Nombre de 
conteneur]],0)</calculatedColumnFormula>
    </tableColumn>
    <tableColumn id="18" xr3:uid="{D7DD4C72-E6F5-4E22-AE4C-CA7E594F760B}" name="Tranche 7_x000a_export_x000a_nb jour" dataDxfId="51" dataCellStyle="Normal 2">
      <calculatedColumnFormula>IF(AND(Tableau158[[#This Row],[Nombre
jours
total]]&gt;=M$13,Tableau158[[#This Row],[Nombre
jours
total]]&lt;=M$14),Tableau158[[#This Row],[Nombre
jours
total]]-M$13+1,IF(Tableau158[[#This Row],[Nombre
jours
total]]&lt;M$13,0,IF(Tableau158[[#This Row],[Nombre
jours
total]]&gt;M$14,M$14-M$13+1)))</calculatedColumnFormula>
    </tableColumn>
    <tableColumn id="24" xr3:uid="{60CAC185-69BF-4710-9121-0F1B5862D0FC}" name="Tranche 7_x000a_export_x000a_coût" dataDxfId="50" dataCellStyle="Normal 2">
      <calculatedColumnFormula>IFERROR(VLOOKUP(Tableau158[[#This Row],[20/40OH]],Tableau69[[20/40OH]:[tranche 8]],8,FALSE)*Tableau158[[#This Row],[Tranche 7
export
nb jour]]*Tableau158[[#This Row],[Nombre de 
conteneur]],0)</calculatedColumnFormula>
    </tableColumn>
    <tableColumn id="19" xr3:uid="{5515F807-8031-4CE6-B47D-24C417A1B4F3}" name="Tranche 8_x000a_export_x000a_nb jour" dataDxfId="49" dataCellStyle="Normal 2">
      <calculatedColumnFormula>IF(AND(Tableau158[[#This Row],[Nombre
jours
total]]&gt;=N$13,Tableau158[[#This Row],[Nombre
jours
total]]&lt;=N$14),Tableau158[[#This Row],[Nombre
jours
total]]-N$13+1,IF(Tableau158[[#This Row],[Nombre
jours
total]]&lt;N$13,0,IF(Tableau158[[#This Row],[Nombre
jours
total]]&gt;N$14,N$14-N$13+1)))</calculatedColumnFormula>
    </tableColumn>
    <tableColumn id="25" xr3:uid="{18B08CFD-FF57-4619-91EA-96B71892CE15}" name="Tranche 8_x000a_export_x000a_coût" dataDxfId="48" dataCellStyle="Normal 2">
      <calculatedColumnFormula>IFERROR(VLOOKUP(Tableau158[[#This Row],[20/40OH]],Tableau69[[20/40OH]:[tranche 8]],9,FALSE)*Tableau158[[#This Row],[Tranche 8
export
nb jour]]*Tableau158[[#This Row],[Nombre de 
conteneur]],0)</calculatedColumnFormula>
    </tableColumn>
    <tableColumn id="26" xr3:uid="{50517526-8795-4295-B5CA-D308B69164E2}" name="Total_x000a_Stationnement" dataDxfId="47" dataCellStyle="Normal 2">
      <calculatedColumnFormula>+Tableau158[[#This Row],[Tranche 8
export
coût]]+Tableau158[[#This Row],[Tranche 7
export
coût]]+Tableau158[[#This Row],[Tranche 6
export
coût]]+Tableau158[[#This Row],[Tranche 5
export
coût]]+Tableau158[[#This Row],[Tranche 4
export
coût]]+Tableau158[[#This Row],[Tranche 3
export
coût]]+Tableau158[[#This Row],[Tranche 2
export
coût]]</calculatedColumnFormula>
    </tableColumn>
    <tableColumn id="21" xr3:uid="{C30D74A8-44B5-47CA-9064-37C5FE13B255}" name="Contrôle_x000a_jours" dataDxfId="46">
      <calculatedColumnFormula>+Tableau158[[#This Row],[Tranche 8
export
nb jour]]+Tableau158[[#This Row],[Tranche 7
export
nb jour]]+Tableau158[[#This Row],[Tranche 6
export
nb jour]]+Tableau158[[#This Row],[Tranche 5
export
nb jour]]+Tableau158[[#This Row],[Tranche 4
export
nb jour]]+Tableau158[[#This Row],[Tranche 3
export
nb jour]]+Tableau158[[#This Row],[Tranche 2
export
nb jour]]+Tableau158[[#This Row],[Tranche 1
export
nb jour]]-Tableau158[[#This Row],[Nombre
jours
total]]</calculatedColumnFormula>
    </tableColumn>
  </tableColumns>
  <tableStyleInfo name="TableStyleMedium1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6D3FA1-384C-4FA5-B8EF-DC5E4010F9A9}" name="Tableau69" displayName="Tableau69" ref="D6:N15" totalsRowShown="0" headerRowDxfId="45" dataDxfId="44" dataCellStyle="Normal 2">
  <autoFilter ref="D6:N15" xr:uid="{A6973159-7BFD-4030-9BB4-4D83ADE3DCBF}"/>
  <tableColumns count="11">
    <tableColumn id="14" xr3:uid="{7F559758-5C26-4F2D-A8EB-046DB29C63BA}" name="Taille" dataDxfId="43" dataCellStyle="Normal 2"/>
    <tableColumn id="13" xr3:uid="{D6C1792F-A27A-467A-95E3-D423FD6A6F2C}" name="Type" dataDxfId="42" dataCellStyle="Normal 2"/>
    <tableColumn id="1" xr3:uid="{3E9EB062-86DA-48E2-82D1-6FAC90E648C9}" name="20/40OH" dataDxfId="41"/>
    <tableColumn id="3" xr3:uid="{FAD0F562-A9F9-4392-BE42-C8024BC8C973}" name="tranche 1" dataDxfId="40" dataCellStyle="Normal 2"/>
    <tableColumn id="4" xr3:uid="{33B98D16-6F3D-427D-A9CB-C4ABEF9349AF}" name="tranche 2" dataDxfId="39" dataCellStyle="Normal 2"/>
    <tableColumn id="5" xr3:uid="{DD63C450-D78F-4EE4-854E-CE4484054DC2}" name="tranche 3" dataDxfId="38" dataCellStyle="Normal 2"/>
    <tableColumn id="6" xr3:uid="{B37F1183-68D0-4C3F-8E1C-BC9141611074}" name="tranche 4" dataDxfId="37" dataCellStyle="Normal 2"/>
    <tableColumn id="7" xr3:uid="{5B737A9A-50EF-42BC-B155-CFCDD6F9E90F}" name="tranche 5" dataDxfId="36" dataCellStyle="Normal 2"/>
    <tableColumn id="8" xr3:uid="{D455C7E1-A661-4167-AD48-F2AD4511F6F6}" name="tranche 6" dataDxfId="35" dataCellStyle="Normal 2"/>
    <tableColumn id="9" xr3:uid="{653AEADA-BB2A-416F-8414-67273210DA92}" name="tranche 7" dataDxfId="34" dataCellStyle="Normal 2"/>
    <tableColumn id="10" xr3:uid="{B06FC2EF-06FB-4060-B69C-0FFC14170210}" name="tranche 8" dataDxfId="33" dataCellStyle="Normal 2"/>
  </tableColumns>
  <tableStyleInfo name="TableStyleMedium16"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table" Target="../tables/table6.xml"/></Relationships>
</file>

<file path=xl/worksheets/_rels/sheet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table" Target="../tables/table8.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A85B6-DFCB-4E9A-8A78-17100EBA3B9A}">
  <sheetPr>
    <tabColor theme="1"/>
  </sheetPr>
  <dimension ref="A1:E8"/>
  <sheetViews>
    <sheetView showGridLines="0" workbookViewId="0">
      <selection activeCell="G29" sqref="G29"/>
    </sheetView>
  </sheetViews>
  <sheetFormatPr baseColWidth="10" defaultColWidth="11.42578125" defaultRowHeight="15" x14ac:dyDescent="0.25"/>
  <cols>
    <col min="1" max="1" width="11.5703125" customWidth="1"/>
    <col min="5" max="5" width="14.5703125" customWidth="1"/>
  </cols>
  <sheetData>
    <row r="1" spans="1:5" x14ac:dyDescent="0.25">
      <c r="A1" t="s">
        <v>0</v>
      </c>
      <c r="C1" s="1" t="s">
        <v>1</v>
      </c>
      <c r="E1" t="s">
        <v>2</v>
      </c>
    </row>
    <row r="2" spans="1:5" x14ac:dyDescent="0.25">
      <c r="A2" t="s">
        <v>3</v>
      </c>
      <c r="C2" t="s">
        <v>4</v>
      </c>
      <c r="E2" s="32" t="s">
        <v>5</v>
      </c>
    </row>
    <row r="3" spans="1:5" x14ac:dyDescent="0.25">
      <c r="A3" t="s">
        <v>6</v>
      </c>
      <c r="C3" t="s">
        <v>7</v>
      </c>
      <c r="E3" s="33" t="s">
        <v>8</v>
      </c>
    </row>
    <row r="4" spans="1:5" x14ac:dyDescent="0.25">
      <c r="A4" t="s">
        <v>9</v>
      </c>
      <c r="E4" t="s">
        <v>10</v>
      </c>
    </row>
    <row r="6" spans="1:5" x14ac:dyDescent="0.25">
      <c r="A6" t="s">
        <v>5</v>
      </c>
    </row>
    <row r="7" spans="1:5" x14ac:dyDescent="0.25">
      <c r="A7" t="s">
        <v>8</v>
      </c>
    </row>
    <row r="8" spans="1:5" x14ac:dyDescent="0.25">
      <c r="A8" t="s">
        <v>10</v>
      </c>
    </row>
  </sheetData>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945C9-DA1B-4FAC-92F7-5E674828E1BC}">
  <sheetPr>
    <tabColor theme="9"/>
  </sheetPr>
  <dimension ref="A1:Z22"/>
  <sheetViews>
    <sheetView showGridLines="0" showZeros="0" tabSelected="1" zoomScale="85" zoomScaleNormal="85" workbookViewId="0">
      <pane xSplit="6" ySplit="4" topLeftCell="G5" activePane="bottomRight" state="frozen"/>
      <selection pane="topRight" activeCell="G1" sqref="G1"/>
      <selection pane="bottomLeft" activeCell="A4" sqref="A4"/>
      <selection pane="bottomRight" activeCell="G35" sqref="G35"/>
    </sheetView>
  </sheetViews>
  <sheetFormatPr baseColWidth="10" defaultColWidth="11.42578125" defaultRowHeight="15" x14ac:dyDescent="0.25"/>
  <cols>
    <col min="1" max="1" width="16.42578125" style="17" customWidth="1"/>
    <col min="2" max="2" width="10.7109375" style="17" bestFit="1" customWidth="1"/>
    <col min="3" max="3" width="14" style="17" bestFit="1" customWidth="1"/>
    <col min="4" max="4" width="19" style="17" bestFit="1" customWidth="1"/>
    <col min="5" max="5" width="13.140625" style="17" bestFit="1" customWidth="1"/>
    <col min="6" max="6" width="14.140625" style="2" hidden="1" customWidth="1"/>
    <col min="7" max="7" width="12.42578125" style="2" bestFit="1" customWidth="1"/>
    <col min="8" max="13" width="12.85546875" style="2" bestFit="1" customWidth="1"/>
    <col min="14" max="14" width="12.85546875" style="3" bestFit="1" customWidth="1"/>
    <col min="15" max="23" width="12.85546875" style="2" bestFit="1" customWidth="1"/>
    <col min="24" max="24" width="20.5703125" style="2" customWidth="1"/>
    <col min="25" max="25" width="14.28515625" style="2" hidden="1" customWidth="1"/>
    <col min="26" max="16384" width="11.42578125" style="2"/>
  </cols>
  <sheetData>
    <row r="1" spans="1:25" ht="24" x14ac:dyDescent="0.25">
      <c r="A1" s="39" t="s">
        <v>11</v>
      </c>
      <c r="B1" s="39"/>
      <c r="C1" s="39"/>
      <c r="D1" s="39"/>
      <c r="E1" s="39"/>
      <c r="F1" s="39"/>
      <c r="G1" s="39"/>
      <c r="H1" s="39"/>
      <c r="I1" s="39"/>
      <c r="J1" s="39"/>
      <c r="K1" s="39"/>
      <c r="L1" s="39"/>
      <c r="M1" s="39"/>
      <c r="N1" s="39"/>
      <c r="O1" s="39"/>
      <c r="P1" s="39"/>
      <c r="Q1" s="39"/>
      <c r="R1" s="39"/>
      <c r="S1" s="39"/>
      <c r="T1" s="39"/>
      <c r="U1" s="39"/>
      <c r="V1" s="39"/>
      <c r="W1" s="39"/>
      <c r="X1" s="39"/>
      <c r="Y1" s="39"/>
    </row>
    <row r="2" spans="1:25" ht="24" x14ac:dyDescent="0.25">
      <c r="A2" s="39" t="s">
        <v>85</v>
      </c>
      <c r="B2" s="39"/>
      <c r="C2" s="39"/>
      <c r="D2" s="39"/>
      <c r="E2" s="39"/>
      <c r="F2" s="39"/>
      <c r="G2" s="39"/>
      <c r="H2" s="39"/>
      <c r="I2" s="39"/>
      <c r="J2" s="39"/>
      <c r="K2" s="39"/>
      <c r="L2" s="39"/>
      <c r="M2" s="39"/>
      <c r="N2" s="39"/>
      <c r="O2" s="39"/>
      <c r="P2" s="39"/>
      <c r="Q2" s="39"/>
      <c r="R2" s="39"/>
      <c r="S2" s="39"/>
      <c r="T2" s="39"/>
      <c r="U2" s="39"/>
      <c r="V2" s="39"/>
      <c r="W2" s="39"/>
      <c r="X2" s="39"/>
      <c r="Y2" s="39"/>
    </row>
    <row r="3" spans="1:25" ht="24" x14ac:dyDescent="0.25">
      <c r="A3" s="42" t="s">
        <v>12</v>
      </c>
      <c r="B3" s="42"/>
      <c r="C3" s="42"/>
      <c r="D3" s="42"/>
      <c r="E3" s="42"/>
      <c r="F3" s="42"/>
      <c r="G3" s="42"/>
      <c r="H3" s="42"/>
      <c r="I3" s="42"/>
      <c r="J3" s="42"/>
      <c r="K3" s="42"/>
      <c r="L3" s="42"/>
      <c r="M3" s="42"/>
      <c r="N3" s="42"/>
      <c r="O3" s="42"/>
      <c r="P3" s="42"/>
      <c r="Q3" s="42"/>
      <c r="R3" s="42"/>
      <c r="S3" s="42"/>
      <c r="T3" s="42"/>
      <c r="U3" s="42"/>
      <c r="V3" s="42"/>
      <c r="W3" s="42"/>
      <c r="X3" s="42"/>
      <c r="Y3" s="42"/>
    </row>
    <row r="4" spans="1:25" ht="37.5" customHeight="1" x14ac:dyDescent="0.25">
      <c r="A4" s="40" t="s">
        <v>13</v>
      </c>
      <c r="B4" s="40"/>
      <c r="C4" s="40"/>
      <c r="D4" s="40"/>
      <c r="E4" s="40"/>
      <c r="F4" s="40"/>
      <c r="G4" s="40"/>
      <c r="H4" s="40"/>
      <c r="I4" s="40"/>
      <c r="J4" s="40"/>
      <c r="K4" s="40"/>
      <c r="L4" s="40"/>
      <c r="M4" s="40"/>
      <c r="N4" s="40"/>
      <c r="O4" s="40"/>
      <c r="P4" s="40"/>
      <c r="Q4" s="40"/>
      <c r="R4" s="40"/>
      <c r="S4" s="40"/>
      <c r="T4" s="40"/>
      <c r="U4" s="40"/>
      <c r="V4" s="40"/>
      <c r="W4" s="40"/>
      <c r="X4" s="40"/>
      <c r="Y4" s="40"/>
    </row>
    <row r="5" spans="1:25" x14ac:dyDescent="0.25">
      <c r="A5" s="2"/>
      <c r="B5" s="2"/>
      <c r="C5" s="2"/>
      <c r="D5" s="2"/>
      <c r="E5" s="2"/>
    </row>
    <row r="6" spans="1:25" x14ac:dyDescent="0.25">
      <c r="A6" s="2"/>
      <c r="B6" s="2"/>
      <c r="C6" s="2"/>
      <c r="D6" s="7" t="s">
        <v>14</v>
      </c>
      <c r="E6" s="7" t="s">
        <v>15</v>
      </c>
      <c r="F6" s="2" t="s">
        <v>16</v>
      </c>
      <c r="G6" s="2" t="s">
        <v>17</v>
      </c>
      <c r="H6" s="2" t="s">
        <v>18</v>
      </c>
      <c r="I6" s="2" t="s">
        <v>19</v>
      </c>
      <c r="J6" s="2" t="s">
        <v>20</v>
      </c>
      <c r="K6" s="2" t="s">
        <v>21</v>
      </c>
      <c r="L6" s="2" t="s">
        <v>22</v>
      </c>
      <c r="M6" s="2" t="s">
        <v>23</v>
      </c>
      <c r="N6" s="2" t="s">
        <v>24</v>
      </c>
    </row>
    <row r="7" spans="1:25" x14ac:dyDescent="0.25">
      <c r="A7" s="2"/>
      <c r="B7" s="2"/>
      <c r="C7" s="2"/>
      <c r="D7" s="8" t="s">
        <v>3</v>
      </c>
      <c r="E7" s="8"/>
      <c r="F7" s="8" t="s">
        <v>3</v>
      </c>
      <c r="G7" s="37" t="s">
        <v>25</v>
      </c>
      <c r="H7" s="10">
        <v>28.35</v>
      </c>
      <c r="I7" s="10">
        <v>22.58</v>
      </c>
      <c r="J7" s="10">
        <v>39.380000000000003</v>
      </c>
      <c r="K7" s="10">
        <v>50.4</v>
      </c>
      <c r="L7" s="10">
        <v>72.98</v>
      </c>
      <c r="M7" s="10">
        <v>84</v>
      </c>
      <c r="N7" s="10">
        <v>106.58</v>
      </c>
      <c r="Q7" s="5"/>
      <c r="W7" s="4"/>
    </row>
    <row r="8" spans="1:25" x14ac:dyDescent="0.25">
      <c r="A8" s="2"/>
      <c r="B8" s="2"/>
      <c r="C8" s="2"/>
      <c r="D8" s="8" t="s">
        <v>3</v>
      </c>
      <c r="E8" s="8" t="s">
        <v>26</v>
      </c>
      <c r="F8" s="8" t="s">
        <v>27</v>
      </c>
      <c r="G8" s="37" t="s">
        <v>25</v>
      </c>
      <c r="H8" s="10">
        <f>+H7*2</f>
        <v>56.7</v>
      </c>
      <c r="I8" s="10">
        <f t="shared" ref="I8:N8" si="0">+I7*2</f>
        <v>45.16</v>
      </c>
      <c r="J8" s="10">
        <f t="shared" si="0"/>
        <v>78.760000000000005</v>
      </c>
      <c r="K8" s="10">
        <f t="shared" si="0"/>
        <v>100.8</v>
      </c>
      <c r="L8" s="10">
        <f t="shared" si="0"/>
        <v>145.96</v>
      </c>
      <c r="M8" s="10">
        <f t="shared" si="0"/>
        <v>168</v>
      </c>
      <c r="N8" s="10">
        <f t="shared" si="0"/>
        <v>213.16</v>
      </c>
      <c r="W8" s="4"/>
    </row>
    <row r="9" spans="1:25" x14ac:dyDescent="0.25">
      <c r="A9" s="2"/>
      <c r="B9" s="2"/>
      <c r="C9" s="2"/>
      <c r="D9" s="8" t="s">
        <v>6</v>
      </c>
      <c r="E9" s="8"/>
      <c r="F9" s="8" t="s">
        <v>6</v>
      </c>
      <c r="G9" s="37" t="s">
        <v>25</v>
      </c>
      <c r="H9" s="10">
        <v>45.15</v>
      </c>
      <c r="I9" s="10">
        <v>39.380000000000003</v>
      </c>
      <c r="J9" s="10">
        <v>50.4</v>
      </c>
      <c r="K9" s="10">
        <v>84</v>
      </c>
      <c r="L9" s="10">
        <v>111.83</v>
      </c>
      <c r="M9" s="10">
        <v>128.63</v>
      </c>
      <c r="N9" s="10">
        <v>168</v>
      </c>
      <c r="W9" s="4"/>
    </row>
    <row r="10" spans="1:25" x14ac:dyDescent="0.25">
      <c r="A10" s="2"/>
      <c r="B10" s="2"/>
      <c r="C10" s="2"/>
      <c r="D10" s="8" t="s">
        <v>6</v>
      </c>
      <c r="E10" s="8" t="s">
        <v>26</v>
      </c>
      <c r="F10" s="8" t="s">
        <v>28</v>
      </c>
      <c r="G10" s="37" t="s">
        <v>25</v>
      </c>
      <c r="H10" s="10">
        <f>+H9*2</f>
        <v>90.3</v>
      </c>
      <c r="I10" s="10">
        <f t="shared" ref="I10" si="1">+I9*2</f>
        <v>78.760000000000005</v>
      </c>
      <c r="J10" s="10">
        <f t="shared" ref="J10" si="2">+J9*2</f>
        <v>100.8</v>
      </c>
      <c r="K10" s="10">
        <f t="shared" ref="K10" si="3">+K9*2</f>
        <v>168</v>
      </c>
      <c r="L10" s="10">
        <f t="shared" ref="L10" si="4">+L9*2</f>
        <v>223.66</v>
      </c>
      <c r="M10" s="10">
        <f t="shared" ref="M10" si="5">+M9*2</f>
        <v>257.26</v>
      </c>
      <c r="N10" s="10">
        <f t="shared" ref="N10" si="6">+N9*2</f>
        <v>336</v>
      </c>
      <c r="W10" s="4"/>
    </row>
    <row r="11" spans="1:25" x14ac:dyDescent="0.25">
      <c r="A11" s="2"/>
      <c r="B11" s="2"/>
      <c r="C11" s="2"/>
      <c r="D11" s="8" t="s">
        <v>9</v>
      </c>
      <c r="E11" s="8"/>
      <c r="F11" s="8" t="s">
        <v>9</v>
      </c>
      <c r="G11" s="37" t="s">
        <v>25</v>
      </c>
      <c r="H11" s="10">
        <v>50.79</v>
      </c>
      <c r="I11" s="10">
        <v>44.3</v>
      </c>
      <c r="J11" s="10">
        <v>56.7</v>
      </c>
      <c r="K11" s="10">
        <v>94.5</v>
      </c>
      <c r="L11" s="10">
        <v>125.8</v>
      </c>
      <c r="M11" s="10">
        <v>144.69999999999999</v>
      </c>
      <c r="N11" s="10">
        <v>189</v>
      </c>
      <c r="W11" s="4"/>
    </row>
    <row r="12" spans="1:25" x14ac:dyDescent="0.25">
      <c r="A12" s="2"/>
      <c r="B12" s="2"/>
      <c r="C12" s="2"/>
      <c r="D12" s="8" t="s">
        <v>9</v>
      </c>
      <c r="E12" s="8" t="s">
        <v>26</v>
      </c>
      <c r="F12" s="8" t="s">
        <v>29</v>
      </c>
      <c r="G12" s="37" t="s">
        <v>25</v>
      </c>
      <c r="H12" s="10">
        <f>+H11*2</f>
        <v>101.58</v>
      </c>
      <c r="I12" s="10">
        <f t="shared" ref="I12" si="7">+I11*2</f>
        <v>88.6</v>
      </c>
      <c r="J12" s="10">
        <f t="shared" ref="J12" si="8">+J11*2</f>
        <v>113.4</v>
      </c>
      <c r="K12" s="10">
        <f t="shared" ref="K12" si="9">+K11*2</f>
        <v>189</v>
      </c>
      <c r="L12" s="10">
        <f t="shared" ref="L12" si="10">+L11*2</f>
        <v>251.6</v>
      </c>
      <c r="M12" s="10">
        <f t="shared" ref="M12" si="11">+M11*2</f>
        <v>289.39999999999998</v>
      </c>
      <c r="N12" s="10">
        <f t="shared" ref="N12" si="12">+N11*2</f>
        <v>378</v>
      </c>
      <c r="W12" s="4"/>
    </row>
    <row r="13" spans="1:25" x14ac:dyDescent="0.25">
      <c r="A13" s="2"/>
      <c r="B13" s="2"/>
      <c r="C13" s="2"/>
      <c r="D13" s="16" t="s">
        <v>30</v>
      </c>
      <c r="E13" s="11"/>
      <c r="F13" s="11"/>
      <c r="G13" s="6">
        <v>0</v>
      </c>
      <c r="H13" s="6">
        <f>+G14+1</f>
        <v>6</v>
      </c>
      <c r="I13" s="6">
        <f>+H14+1</f>
        <v>7</v>
      </c>
      <c r="J13" s="6">
        <f t="shared" ref="J13:M13" si="13">+I14+1</f>
        <v>9</v>
      </c>
      <c r="K13" s="6">
        <f t="shared" si="13"/>
        <v>12</v>
      </c>
      <c r="L13" s="6">
        <f t="shared" si="13"/>
        <v>16</v>
      </c>
      <c r="M13" s="6">
        <f t="shared" si="13"/>
        <v>22</v>
      </c>
      <c r="N13" s="6">
        <f>+M14+1</f>
        <v>91</v>
      </c>
      <c r="W13" s="4"/>
    </row>
    <row r="14" spans="1:25" x14ac:dyDescent="0.25">
      <c r="A14" s="2"/>
      <c r="B14" s="2"/>
      <c r="C14" s="2"/>
      <c r="D14" s="16" t="s">
        <v>31</v>
      </c>
      <c r="E14" s="11"/>
      <c r="F14" s="11"/>
      <c r="G14" s="6">
        <v>5</v>
      </c>
      <c r="H14" s="6">
        <v>6</v>
      </c>
      <c r="I14" s="6">
        <v>8</v>
      </c>
      <c r="J14" s="6">
        <v>11</v>
      </c>
      <c r="K14" s="6">
        <v>15</v>
      </c>
      <c r="L14" s="6">
        <v>21</v>
      </c>
      <c r="M14" s="6">
        <v>90</v>
      </c>
      <c r="N14" s="14">
        <v>999999</v>
      </c>
      <c r="W14" s="4"/>
    </row>
    <row r="15" spans="1:25" x14ac:dyDescent="0.25">
      <c r="A15" s="2"/>
      <c r="B15" s="2"/>
      <c r="C15" s="2"/>
      <c r="D15" s="8" t="s">
        <v>32</v>
      </c>
      <c r="E15" s="8"/>
      <c r="F15" s="8"/>
      <c r="G15" s="6">
        <f>+G14</f>
        <v>5</v>
      </c>
      <c r="H15" s="6">
        <f>+H14-H13+1</f>
        <v>1</v>
      </c>
      <c r="I15" s="6">
        <f t="shared" ref="I15:L15" si="14">+I14-I13+1</f>
        <v>2</v>
      </c>
      <c r="J15" s="6">
        <f t="shared" si="14"/>
        <v>3</v>
      </c>
      <c r="K15" s="6">
        <f t="shared" si="14"/>
        <v>4</v>
      </c>
      <c r="L15" s="6">
        <f t="shared" si="14"/>
        <v>6</v>
      </c>
      <c r="M15" s="6">
        <f>+M14-M13+1</f>
        <v>69</v>
      </c>
      <c r="N15" s="15">
        <f>+N14-N13+1</f>
        <v>999909</v>
      </c>
      <c r="W15" s="4"/>
    </row>
    <row r="16" spans="1:25" x14ac:dyDescent="0.25">
      <c r="A16" s="2"/>
      <c r="B16" s="2"/>
      <c r="C16" s="2"/>
      <c r="D16" s="2"/>
      <c r="E16" s="2"/>
      <c r="G16" s="4"/>
      <c r="H16" s="6"/>
      <c r="I16" s="6"/>
      <c r="J16" s="6"/>
      <c r="K16" s="6"/>
      <c r="L16" s="6"/>
      <c r="M16" s="6"/>
      <c r="N16" s="6"/>
      <c r="O16" s="6"/>
      <c r="V16" s="4"/>
    </row>
    <row r="17" spans="1:26" x14ac:dyDescent="0.25">
      <c r="A17" s="41" t="s">
        <v>33</v>
      </c>
      <c r="B17" s="41"/>
      <c r="C17" s="41"/>
      <c r="D17" s="41"/>
      <c r="E17" s="41"/>
      <c r="F17" s="41"/>
      <c r="G17" s="41"/>
      <c r="H17" s="41"/>
      <c r="I17" s="41"/>
      <c r="J17" s="41"/>
      <c r="K17" s="41"/>
      <c r="L17" s="41"/>
      <c r="M17" s="41"/>
      <c r="N17" s="41"/>
      <c r="O17" s="12"/>
      <c r="P17" s="12"/>
      <c r="Q17" s="12"/>
      <c r="R17" s="12"/>
      <c r="S17" s="12"/>
      <c r="T17" s="12"/>
      <c r="U17" s="12"/>
      <c r="V17" s="12"/>
      <c r="W17" s="12"/>
      <c r="X17" s="12"/>
      <c r="Y17" s="12"/>
    </row>
    <row r="18" spans="1:26" ht="15.75" thickBot="1" x14ac:dyDescent="0.3">
      <c r="A18" s="41" t="s">
        <v>34</v>
      </c>
      <c r="B18" s="41"/>
      <c r="C18" s="41"/>
      <c r="D18" s="41"/>
      <c r="E18" s="41"/>
      <c r="F18" s="41"/>
      <c r="G18" s="41"/>
      <c r="H18" s="41"/>
      <c r="I18" s="41"/>
      <c r="J18" s="41"/>
      <c r="K18" s="41"/>
      <c r="L18" s="41"/>
      <c r="M18" s="41"/>
      <c r="N18" s="41"/>
      <c r="O18" s="12"/>
      <c r="P18" s="12"/>
      <c r="Q18" s="12"/>
      <c r="R18" s="12"/>
      <c r="S18" s="12"/>
      <c r="T18" s="12"/>
      <c r="U18" s="12"/>
      <c r="V18" s="12"/>
      <c r="W18" s="12"/>
      <c r="Y18" s="12"/>
    </row>
    <row r="19" spans="1:26" ht="30.75" thickTop="1" x14ac:dyDescent="0.25">
      <c r="A19" s="13" t="s">
        <v>35</v>
      </c>
      <c r="B19" s="12"/>
      <c r="C19" s="12"/>
      <c r="D19" s="12"/>
      <c r="E19" s="12"/>
      <c r="F19" s="12"/>
      <c r="G19" s="12"/>
      <c r="H19" s="12"/>
      <c r="I19" s="12"/>
      <c r="J19" s="12"/>
      <c r="K19" s="12"/>
      <c r="L19" s="12"/>
      <c r="M19" s="12"/>
      <c r="N19" s="12"/>
      <c r="O19" s="12"/>
      <c r="P19" s="12"/>
      <c r="Q19" s="12"/>
      <c r="R19" s="12"/>
      <c r="S19" s="12"/>
      <c r="T19" s="12"/>
      <c r="U19" s="12"/>
      <c r="V19" s="12"/>
      <c r="W19" s="12"/>
      <c r="Y19" s="12"/>
    </row>
    <row r="20" spans="1:26" ht="22.5" customHeight="1" x14ac:dyDescent="0.25">
      <c r="A20" s="18">
        <f>SUBTOTAL(9,Tableau15[Total
Stationnement])</f>
        <v>0</v>
      </c>
      <c r="B20" s="2"/>
      <c r="C20" s="2"/>
      <c r="D20" s="2"/>
      <c r="E20" s="2"/>
      <c r="G20" s="4"/>
      <c r="H20" s="6"/>
      <c r="I20" s="6"/>
      <c r="J20" s="6"/>
      <c r="K20" s="6"/>
      <c r="L20" s="6"/>
      <c r="M20" s="6"/>
      <c r="N20" s="6"/>
      <c r="O20" s="6"/>
      <c r="V20" s="4"/>
    </row>
    <row r="21" spans="1:26" s="25" customFormat="1" ht="56.25" customHeight="1" x14ac:dyDescent="0.25">
      <c r="A21" s="19" t="s">
        <v>36</v>
      </c>
      <c r="B21" s="20" t="s">
        <v>14</v>
      </c>
      <c r="C21" s="20" t="s">
        <v>37</v>
      </c>
      <c r="D21" s="19" t="s">
        <v>38</v>
      </c>
      <c r="E21" s="19" t="s">
        <v>39</v>
      </c>
      <c r="F21" s="21" t="s">
        <v>16</v>
      </c>
      <c r="G21" s="22" t="s">
        <v>40</v>
      </c>
      <c r="H21" s="23" t="s">
        <v>41</v>
      </c>
      <c r="I21" s="24" t="s">
        <v>42</v>
      </c>
      <c r="J21" s="23" t="s">
        <v>43</v>
      </c>
      <c r="K21" s="24" t="s">
        <v>44</v>
      </c>
      <c r="L21" s="23" t="s">
        <v>45</v>
      </c>
      <c r="M21" s="24" t="s">
        <v>46</v>
      </c>
      <c r="N21" s="23" t="s">
        <v>47</v>
      </c>
      <c r="O21" s="24" t="s">
        <v>48</v>
      </c>
      <c r="P21" s="23" t="s">
        <v>49</v>
      </c>
      <c r="Q21" s="24" t="s">
        <v>50</v>
      </c>
      <c r="R21" s="23" t="s">
        <v>51</v>
      </c>
      <c r="S21" s="24" t="s">
        <v>52</v>
      </c>
      <c r="T21" s="23" t="s">
        <v>53</v>
      </c>
      <c r="U21" s="24" t="s">
        <v>54</v>
      </c>
      <c r="V21" s="23" t="s">
        <v>55</v>
      </c>
      <c r="W21" s="24" t="s">
        <v>56</v>
      </c>
      <c r="X21" s="22" t="s">
        <v>57</v>
      </c>
      <c r="Y21" s="21" t="s">
        <v>58</v>
      </c>
      <c r="Z21" s="2"/>
    </row>
    <row r="22" spans="1:26" x14ac:dyDescent="0.25">
      <c r="A22" s="17">
        <v>1</v>
      </c>
      <c r="B22" s="26"/>
      <c r="C22" s="27"/>
      <c r="D22" s="28"/>
      <c r="E22" s="28"/>
      <c r="F22" s="4">
        <f>IF(OR(Tableau15[[#This Row],[Type
OH/DGX]]="DGX",Tableau15[[#This Row],[Type
OH/DGX]]="OH"),CONCATENATE(Tableau15[[#This Row],[Taille]]," ohdgx"),Tableau15[[#This Row],[Taille]])</f>
        <v>0</v>
      </c>
      <c r="G22" s="3">
        <f>IF(Tableau15[[#This Row],[Nombre de 
conteneur]]=0,0,Tableau15[[#This Row],[Date fin
''Livraison'']]-Tableau15[[#This Row],[Date début
''Débarquement'']]+1)</f>
        <v>1</v>
      </c>
      <c r="H22" s="29">
        <f>IF(Tableau15[[#This Row],[Nombre
jours
total]]&lt;=G$14,Tableau15[[#This Row],[Nombre
jours
total]],G$14)</f>
        <v>1</v>
      </c>
      <c r="I22" s="30">
        <f>IFERROR(VLOOKUP(Tableau15[[#This Row],[20/40OH]],Tableau6[[20/40OH]:[tranche 8]],2,FALSE)*Tableau15[[#This Row],[Tranche 1
import
nb jour]]*Tableau15[[#This Row],[Nombre de 
conteneur]],0)</f>
        <v>0</v>
      </c>
      <c r="J22" s="29">
        <f>IF(AND(Tableau15[[#This Row],[Nombre
jours
total]]&gt;=H$13,Tableau15[[#This Row],[Nombre
jours
total]]&lt;=H$14),Tableau15[[#This Row],[Nombre
jours
total]]-H$13+1,IF(Tableau15[[#This Row],[Nombre
jours
total]]&lt;H$13,0,IF(Tableau15[[#This Row],[Nombre
jours
total]]&gt;H$14,H$14-H$13+1)))</f>
        <v>0</v>
      </c>
      <c r="K22" s="31">
        <f>IFERROR(VLOOKUP(Tableau15[[#This Row],[20/40OH]],Tableau6[[20/40OH]:[tranche 8]],3,FALSE)*Tableau15[[#This Row],[Tranche 2
import
nb jour]]*Tableau15[[#This Row],[Nombre de 
conteneur]],0)</f>
        <v>0</v>
      </c>
      <c r="L22" s="29">
        <f>IF(AND(Tableau15[[#This Row],[Nombre
jours
total]]&gt;=I$13,Tableau15[[#This Row],[Nombre
jours
total]]&lt;=I$14),Tableau15[[#This Row],[Nombre
jours
total]]-I$13+1,IF(Tableau15[[#This Row],[Nombre
jours
total]]&lt;I$13,0,IF(Tableau15[[#This Row],[Nombre
jours
total]]&gt;I$14,I$14-I$13+1)))</f>
        <v>0</v>
      </c>
      <c r="M22" s="31">
        <f>IFERROR(VLOOKUP(Tableau15[[#This Row],[20/40OH]],Tableau6[[20/40OH]:[tranche 8]],4,FALSE)*Tableau15[[#This Row],[Tranche 3
import
nb jour]]*Tableau15[[#This Row],[Nombre de 
conteneur]],0)</f>
        <v>0</v>
      </c>
      <c r="N22" s="29">
        <f>IF(AND(Tableau15[[#This Row],[Nombre
jours
total]]&gt;=J$13,Tableau15[[#This Row],[Nombre
jours
total]]&lt;=J$14),Tableau15[[#This Row],[Nombre
jours
total]]-J$13+1,IF(Tableau15[[#This Row],[Nombre
jours
total]]&lt;J$13,0,IF(Tableau15[[#This Row],[Nombre
jours
total]]&gt;J$14,J$14-J$13+1)))</f>
        <v>0</v>
      </c>
      <c r="O22" s="31">
        <f>IFERROR(VLOOKUP(Tableau15[[#This Row],[20/40OH]],Tableau6[[20/40OH]:[tranche 8]],5,FALSE)*Tableau15[[#This Row],[Tranche 4
import
nb jour]]*Tableau15[[#This Row],[Nombre de 
conteneur]],0)</f>
        <v>0</v>
      </c>
      <c r="P22" s="29">
        <f>IF(AND(Tableau15[[#This Row],[Nombre
jours
total]]&gt;=K$13,Tableau15[[#This Row],[Nombre
jours
total]]&lt;=K$14),Tableau15[[#This Row],[Nombre
jours
total]]-K$13+1,IF(Tableau15[[#This Row],[Nombre
jours
total]]&lt;K$13,0,IF(Tableau15[[#This Row],[Nombre
jours
total]]&gt;K$14,K$14-K$13+1)))</f>
        <v>0</v>
      </c>
      <c r="Q22" s="31">
        <f>IFERROR(VLOOKUP(Tableau15[[#This Row],[20/40OH]],Tableau6[[20/40OH]:[tranche 8]],6,FALSE)*Tableau15[[#This Row],[Tranche 5
import
nb jour]]*Tableau15[[#This Row],[Nombre de 
conteneur]],0)</f>
        <v>0</v>
      </c>
      <c r="R22" s="29">
        <f>IF(AND(Tableau15[[#This Row],[Nombre
jours
total]]&gt;=L$13,Tableau15[[#This Row],[Nombre
jours
total]]&lt;=L$14),Tableau15[[#This Row],[Nombre
jours
total]]-L$13+1,IF(Tableau15[[#This Row],[Nombre
jours
total]]&lt;L$13,0,IF(Tableau15[[#This Row],[Nombre
jours
total]]&gt;L$14,L$14-L$13+1)))</f>
        <v>0</v>
      </c>
      <c r="S22" s="31">
        <f>IFERROR(VLOOKUP(Tableau15[[#This Row],[20/40OH]],Tableau6[[20/40OH]:[tranche 8]],7,FALSE)*Tableau15[[#This Row],[Tranche 6
import
nb jour]]*Tableau15[[#This Row],[Nombre de 
conteneur]],0)</f>
        <v>0</v>
      </c>
      <c r="T22" s="29">
        <f>IF(AND(Tableau15[[#This Row],[Nombre
jours
total]]&gt;=M$13,Tableau15[[#This Row],[Nombre
jours
total]]&lt;=M$14),Tableau15[[#This Row],[Nombre
jours
total]]-M$13+1,IF(Tableau15[[#This Row],[Nombre
jours
total]]&lt;M$13,0,IF(Tableau15[[#This Row],[Nombre
jours
total]]&gt;M$14,M$14-M$13+1)))</f>
        <v>0</v>
      </c>
      <c r="U22" s="31">
        <f>IFERROR(VLOOKUP(Tableau15[[#This Row],[20/40OH]],Tableau6[[20/40OH]:[tranche 8]],8,FALSE)*Tableau15[[#This Row],[Tranche 7
import
nb jour]]*Tableau15[[#This Row],[Nombre de 
conteneur]],0)</f>
        <v>0</v>
      </c>
      <c r="V22" s="29">
        <f>IF(AND(Tableau15[[#This Row],[Nombre
jours
total]]&gt;=N$13,Tableau15[[#This Row],[Nombre
jours
total]]&lt;=N$14),Tableau15[[#This Row],[Nombre
jours
total]]-N$13+1,IF(Tableau15[[#This Row],[Nombre
jours
total]]&lt;N$13,0,IF(Tableau15[[#This Row],[Nombre
jours
total]]&gt;N$14,N$14-N$13+1)))</f>
        <v>0</v>
      </c>
      <c r="W22" s="31">
        <f>IFERROR(VLOOKUP(Tableau15[[#This Row],[20/40OH]],Tableau6[[20/40OH]:[tranche 8]],9,FALSE)*Tableau15[[#This Row],[Tranche 8
import
nb jour]]*Tableau15[[#This Row],[Nombre de 
conteneur]],0)</f>
        <v>0</v>
      </c>
      <c r="X22" s="31">
        <f>+Tableau15[[#This Row],[Tranche 8
Import
coût]]+Tableau15[[#This Row],[Tranche 7
Import
coût]]+Tableau15[[#This Row],[Tranche 6
Import
coût]]+Tableau15[[#This Row],[Tranche 5
Import
coût]]+Tableau15[[#This Row],[Tranche 4
Import
coût]]+Tableau15[[#This Row],[Tranche 3
Import
coût]]+Tableau15[[#This Row],[Tranche 2
Import
coût]]</f>
        <v>0</v>
      </c>
      <c r="Y22" s="3">
        <f>+Tableau15[[#This Row],[Tranche 8
import
nb jour]]+Tableau15[[#This Row],[Tranche 7
import
nb jour]]+Tableau15[[#This Row],[Tranche 6
import
nb jour]]+Tableau15[[#This Row],[Tranche 5
import
nb jour]]+Tableau15[[#This Row],[Tranche 4
import
nb jour]]+Tableau15[[#This Row],[Tranche 3
import
nb jour]]+Tableau15[[#This Row],[Tranche 2
import
nb jour]]+Tableau15[[#This Row],[Tranche 1
import
nb jour]]-Tableau15[[#This Row],[Nombre
jours
total]]</f>
        <v>0</v>
      </c>
    </row>
  </sheetData>
  <mergeCells count="6">
    <mergeCell ref="A2:Y2"/>
    <mergeCell ref="A1:Y1"/>
    <mergeCell ref="A4:Y4"/>
    <mergeCell ref="A17:N17"/>
    <mergeCell ref="A18:N18"/>
    <mergeCell ref="A3:Y3"/>
  </mergeCells>
  <phoneticPr fontId="3" type="noConversion"/>
  <dataValidations count="2">
    <dataValidation type="list" allowBlank="1" showInputMessage="1" showErrorMessage="1" sqref="B22" xr:uid="{4F1AE33E-9D3E-4D0F-9C91-9FDB4EF3EBA6}">
      <formula1>longueur</formula1>
    </dataValidation>
    <dataValidation type="list" allowBlank="1" showInputMessage="1" showErrorMessage="1" sqref="C22" xr:uid="{A43FD18E-045C-43B0-87F1-B03A9391C379}">
      <formula1>type</formula1>
    </dataValidation>
  </dataValidations>
  <pageMargins left="0.7" right="0.7" top="0.75" bottom="0.75" header="0.3" footer="0.3"/>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40726-7D4E-4583-BFA9-81C0337BCD85}">
  <sheetPr>
    <tabColor theme="9"/>
  </sheetPr>
  <dimension ref="A1:T19"/>
  <sheetViews>
    <sheetView showGridLines="0" showZeros="0" zoomScale="85" zoomScaleNormal="85" workbookViewId="0">
      <pane xSplit="4" ySplit="4" topLeftCell="E5" activePane="bottomRight" state="frozen"/>
      <selection pane="topRight" activeCell="E1" sqref="E1"/>
      <selection pane="bottomLeft" activeCell="A5" sqref="A5"/>
      <selection pane="bottomRight" activeCell="A2" sqref="A2:T2"/>
    </sheetView>
  </sheetViews>
  <sheetFormatPr baseColWidth="10" defaultColWidth="11.42578125" defaultRowHeight="15" x14ac:dyDescent="0.25"/>
  <cols>
    <col min="1" max="1" width="16.42578125" style="17" customWidth="1"/>
    <col min="2" max="2" width="10.7109375" style="17" bestFit="1" customWidth="1"/>
    <col min="3" max="4" width="17.5703125" style="17" customWidth="1"/>
    <col min="5" max="5" width="13.140625" style="17" bestFit="1" customWidth="1"/>
    <col min="6" max="6" width="14.140625" style="2" customWidth="1"/>
    <col min="7" max="7" width="12.42578125" style="2" bestFit="1" customWidth="1"/>
    <col min="8" max="13" width="12.85546875" style="2" bestFit="1" customWidth="1"/>
    <col min="14" max="14" width="12.85546875" style="3" bestFit="1" customWidth="1"/>
    <col min="15" max="19" width="12.85546875" style="2" bestFit="1" customWidth="1"/>
    <col min="20" max="20" width="17" style="2" customWidth="1"/>
  </cols>
  <sheetData>
    <row r="1" spans="1:20" ht="24" x14ac:dyDescent="0.25">
      <c r="A1" s="39" t="s">
        <v>59</v>
      </c>
      <c r="B1" s="39"/>
      <c r="C1" s="39"/>
      <c r="D1" s="39"/>
      <c r="E1" s="39"/>
      <c r="F1" s="39"/>
      <c r="G1" s="39"/>
      <c r="H1" s="39"/>
      <c r="I1" s="39"/>
      <c r="J1" s="39"/>
      <c r="K1" s="39"/>
      <c r="L1" s="39"/>
      <c r="M1" s="39"/>
      <c r="N1" s="39"/>
      <c r="O1" s="39"/>
      <c r="P1" s="39"/>
      <c r="Q1" s="39"/>
      <c r="R1" s="39"/>
      <c r="S1" s="39"/>
      <c r="T1" s="39"/>
    </row>
    <row r="2" spans="1:20" ht="24" x14ac:dyDescent="0.25">
      <c r="A2" s="39" t="s">
        <v>86</v>
      </c>
      <c r="B2" s="39"/>
      <c r="C2" s="39"/>
      <c r="D2" s="39"/>
      <c r="E2" s="39"/>
      <c r="F2" s="39"/>
      <c r="G2" s="39"/>
      <c r="H2" s="39"/>
      <c r="I2" s="39"/>
      <c r="J2" s="39"/>
      <c r="K2" s="39"/>
      <c r="L2" s="39"/>
      <c r="M2" s="39"/>
      <c r="N2" s="39"/>
      <c r="O2" s="39"/>
      <c r="P2" s="39"/>
      <c r="Q2" s="39"/>
      <c r="R2" s="39"/>
      <c r="S2" s="39"/>
      <c r="T2" s="39"/>
    </row>
    <row r="3" spans="1:20" ht="24" x14ac:dyDescent="0.25">
      <c r="A3" s="38" t="s">
        <v>12</v>
      </c>
      <c r="B3" s="38"/>
      <c r="C3" s="38"/>
      <c r="D3" s="38"/>
      <c r="E3" s="38"/>
      <c r="F3" s="38"/>
      <c r="G3" s="38"/>
      <c r="H3" s="38"/>
      <c r="I3" s="38"/>
      <c r="J3" s="38"/>
      <c r="K3" s="38"/>
      <c r="L3" s="38"/>
      <c r="M3" s="38"/>
      <c r="N3" s="38"/>
      <c r="O3" s="38"/>
      <c r="P3" s="38"/>
      <c r="Q3" s="38"/>
      <c r="R3" s="38"/>
      <c r="S3" s="38"/>
      <c r="T3" s="38"/>
    </row>
    <row r="4" spans="1:20" ht="37.5" customHeight="1" x14ac:dyDescent="0.25">
      <c r="A4" s="40" t="s">
        <v>13</v>
      </c>
      <c r="B4" s="40"/>
      <c r="C4" s="40"/>
      <c r="D4" s="40"/>
      <c r="E4" s="40"/>
      <c r="F4" s="40"/>
      <c r="G4" s="40"/>
      <c r="H4" s="40"/>
      <c r="I4" s="40"/>
      <c r="J4" s="40"/>
      <c r="K4" s="40"/>
      <c r="L4" s="40"/>
      <c r="M4" s="40"/>
      <c r="N4" s="40"/>
      <c r="O4" s="40"/>
      <c r="P4" s="40"/>
      <c r="Q4" s="40"/>
      <c r="R4" s="40"/>
      <c r="S4" s="40"/>
      <c r="T4" s="40"/>
    </row>
    <row r="5" spans="1:20" x14ac:dyDescent="0.25">
      <c r="A5" s="2"/>
      <c r="B5" s="2"/>
      <c r="C5" s="2"/>
      <c r="D5" s="2"/>
      <c r="E5" s="2"/>
    </row>
    <row r="6" spans="1:20" x14ac:dyDescent="0.25">
      <c r="A6" s="2"/>
      <c r="B6" s="2"/>
      <c r="C6" s="2"/>
      <c r="D6" s="7" t="s">
        <v>15</v>
      </c>
      <c r="E6" s="7" t="s">
        <v>60</v>
      </c>
      <c r="F6" s="2" t="s">
        <v>17</v>
      </c>
      <c r="G6" s="2" t="s">
        <v>18</v>
      </c>
      <c r="H6" s="2" t="s">
        <v>19</v>
      </c>
      <c r="I6" s="2" t="s">
        <v>20</v>
      </c>
      <c r="J6" s="2" t="s">
        <v>21</v>
      </c>
      <c r="K6" s="2" t="s">
        <v>22</v>
      </c>
      <c r="L6" s="2" t="s">
        <v>23</v>
      </c>
      <c r="N6" s="2"/>
    </row>
    <row r="7" spans="1:20" ht="75" x14ac:dyDescent="0.25">
      <c r="A7" s="2"/>
      <c r="B7" s="2"/>
      <c r="C7" s="2"/>
      <c r="D7" s="34" t="s">
        <v>5</v>
      </c>
      <c r="E7" s="34" t="s">
        <v>61</v>
      </c>
      <c r="F7" s="10" t="s">
        <v>25</v>
      </c>
      <c r="G7" s="10">
        <v>20.48</v>
      </c>
      <c r="H7" s="10">
        <v>13.65</v>
      </c>
      <c r="I7" s="10">
        <v>18.38</v>
      </c>
      <c r="J7" s="10">
        <v>33.6</v>
      </c>
      <c r="K7" s="10">
        <v>72.98</v>
      </c>
      <c r="L7" s="10">
        <v>95.03</v>
      </c>
      <c r="N7" s="2"/>
      <c r="O7" s="5"/>
    </row>
    <row r="8" spans="1:20" ht="75" x14ac:dyDescent="0.25">
      <c r="A8" s="2"/>
      <c r="B8" s="2"/>
      <c r="C8" s="2"/>
      <c r="D8" s="34" t="s">
        <v>8</v>
      </c>
      <c r="E8" s="34" t="s">
        <v>62</v>
      </c>
      <c r="F8" s="10" t="s">
        <v>25</v>
      </c>
      <c r="G8" s="10">
        <v>50.4</v>
      </c>
      <c r="H8" s="10">
        <v>67.2</v>
      </c>
      <c r="I8" s="10">
        <v>84</v>
      </c>
      <c r="J8" s="10">
        <v>106.58</v>
      </c>
      <c r="K8" s="10">
        <v>151.19999999999999</v>
      </c>
      <c r="L8" s="10">
        <v>195.83</v>
      </c>
      <c r="N8" s="2"/>
    </row>
    <row r="9" spans="1:20" ht="30" x14ac:dyDescent="0.25">
      <c r="A9" s="2"/>
      <c r="B9" s="2"/>
      <c r="C9" s="2"/>
      <c r="D9" s="34" t="s">
        <v>10</v>
      </c>
      <c r="E9" s="34" t="s">
        <v>63</v>
      </c>
      <c r="F9" s="10" t="s">
        <v>25</v>
      </c>
      <c r="G9" s="10">
        <f>+G8*1.5</f>
        <v>75.599999999999994</v>
      </c>
      <c r="H9" s="10">
        <f t="shared" ref="H9:L9" si="0">+H8*1.5</f>
        <v>100.80000000000001</v>
      </c>
      <c r="I9" s="10">
        <f t="shared" si="0"/>
        <v>126</v>
      </c>
      <c r="J9" s="10">
        <f t="shared" si="0"/>
        <v>159.87</v>
      </c>
      <c r="K9" s="10">
        <f t="shared" si="0"/>
        <v>226.79999999999998</v>
      </c>
      <c r="L9" s="10">
        <f t="shared" si="0"/>
        <v>293.745</v>
      </c>
      <c r="N9" s="2"/>
    </row>
    <row r="10" spans="1:20" x14ac:dyDescent="0.25">
      <c r="A10" s="2"/>
      <c r="B10" s="2"/>
      <c r="C10" s="2"/>
      <c r="D10" s="16" t="s">
        <v>30</v>
      </c>
      <c r="E10" s="11"/>
      <c r="F10" s="6">
        <v>0</v>
      </c>
      <c r="G10" s="6">
        <f>+F11+1</f>
        <v>6</v>
      </c>
      <c r="H10" s="6">
        <f>+G11+1</f>
        <v>7</v>
      </c>
      <c r="I10" s="6">
        <f t="shared" ref="I10:L10" si="1">+H11+1</f>
        <v>15</v>
      </c>
      <c r="J10" s="6">
        <f t="shared" si="1"/>
        <v>26</v>
      </c>
      <c r="K10" s="6">
        <f t="shared" si="1"/>
        <v>51</v>
      </c>
      <c r="L10" s="6">
        <f t="shared" si="1"/>
        <v>91</v>
      </c>
      <c r="N10" s="2"/>
    </row>
    <row r="11" spans="1:20" x14ac:dyDescent="0.25">
      <c r="A11" s="2"/>
      <c r="B11" s="2"/>
      <c r="C11" s="2"/>
      <c r="D11" s="16" t="s">
        <v>31</v>
      </c>
      <c r="E11" s="11"/>
      <c r="F11" s="6">
        <v>5</v>
      </c>
      <c r="G11" s="6">
        <v>6</v>
      </c>
      <c r="H11" s="6">
        <v>14</v>
      </c>
      <c r="I11" s="6">
        <v>25</v>
      </c>
      <c r="J11" s="6">
        <v>50</v>
      </c>
      <c r="K11" s="6">
        <v>90</v>
      </c>
      <c r="L11" s="35">
        <v>999999</v>
      </c>
      <c r="N11" s="2"/>
    </row>
    <row r="12" spans="1:20" x14ac:dyDescent="0.25">
      <c r="A12" s="2"/>
      <c r="B12" s="2"/>
      <c r="C12" s="2"/>
      <c r="D12" s="8" t="s">
        <v>32</v>
      </c>
      <c r="E12" s="8"/>
      <c r="F12" s="6">
        <f>+F11</f>
        <v>5</v>
      </c>
      <c r="G12" s="6">
        <f>+G11-G10+1</f>
        <v>1</v>
      </c>
      <c r="H12" s="6">
        <f t="shared" ref="H12:K12" si="2">+H11-H10+1</f>
        <v>8</v>
      </c>
      <c r="I12" s="6">
        <f t="shared" si="2"/>
        <v>11</v>
      </c>
      <c r="J12" s="6">
        <f t="shared" si="2"/>
        <v>25</v>
      </c>
      <c r="K12" s="6">
        <f t="shared" si="2"/>
        <v>40</v>
      </c>
      <c r="L12" s="14">
        <f>+L11-L10+1</f>
        <v>999909</v>
      </c>
      <c r="N12" s="2"/>
    </row>
    <row r="13" spans="1:20" x14ac:dyDescent="0.25">
      <c r="A13" s="2"/>
      <c r="B13" s="2"/>
      <c r="C13" s="2"/>
      <c r="D13" s="2"/>
      <c r="E13" s="2"/>
      <c r="G13" s="4"/>
      <c r="H13" s="6"/>
      <c r="I13" s="6"/>
      <c r="J13" s="6"/>
      <c r="K13" s="6"/>
      <c r="L13" s="6"/>
      <c r="M13" s="6"/>
      <c r="N13" s="6"/>
      <c r="O13" s="6"/>
    </row>
    <row r="14" spans="1:20" x14ac:dyDescent="0.25">
      <c r="A14" s="41" t="s">
        <v>64</v>
      </c>
      <c r="B14" s="41"/>
      <c r="C14" s="41"/>
      <c r="D14" s="41"/>
      <c r="E14" s="41"/>
      <c r="F14" s="41"/>
      <c r="G14" s="41"/>
      <c r="H14" s="41"/>
      <c r="I14" s="41"/>
      <c r="J14" s="41"/>
      <c r="K14" s="41"/>
      <c r="L14" s="41"/>
      <c r="M14" s="41"/>
      <c r="N14" s="41"/>
      <c r="O14" s="12"/>
      <c r="P14" s="12"/>
      <c r="Q14" s="12"/>
      <c r="R14" s="12"/>
      <c r="S14" s="12"/>
      <c r="T14" s="12"/>
    </row>
    <row r="15" spans="1:20" x14ac:dyDescent="0.25">
      <c r="A15" s="41" t="s">
        <v>65</v>
      </c>
      <c r="B15" s="41"/>
      <c r="C15" s="41"/>
      <c r="D15" s="41"/>
      <c r="E15" s="41"/>
      <c r="F15" s="41"/>
      <c r="G15" s="41"/>
      <c r="H15" s="41"/>
      <c r="I15" s="41"/>
      <c r="J15" s="41"/>
      <c r="K15" s="41"/>
      <c r="L15" s="41"/>
      <c r="M15" s="41"/>
      <c r="N15" s="41"/>
      <c r="O15" s="12"/>
      <c r="P15" s="12"/>
      <c r="Q15" s="12"/>
      <c r="R15" s="12"/>
      <c r="S15" s="12"/>
      <c r="T15" s="12"/>
    </row>
    <row r="16" spans="1:20" ht="30" x14ac:dyDescent="0.25">
      <c r="A16" s="13" t="s">
        <v>35</v>
      </c>
      <c r="B16" s="12"/>
      <c r="C16" s="12"/>
      <c r="D16" s="12"/>
      <c r="E16" s="12"/>
      <c r="F16" s="12"/>
      <c r="G16" s="12"/>
      <c r="H16" s="12"/>
      <c r="I16" s="12"/>
      <c r="J16" s="12"/>
      <c r="K16" s="12"/>
      <c r="L16" s="12"/>
      <c r="M16" s="12"/>
      <c r="N16" s="12"/>
      <c r="O16" s="12"/>
      <c r="P16" s="12"/>
      <c r="Q16" s="12"/>
      <c r="R16" s="12"/>
      <c r="S16" s="12"/>
      <c r="T16" s="12"/>
    </row>
    <row r="17" spans="1:20" ht="22.5" customHeight="1" x14ac:dyDescent="0.25">
      <c r="A17" s="18">
        <f>SUBTOTAL(9,Tableau1510[Total
Stationnement])</f>
        <v>0</v>
      </c>
      <c r="B17" s="2"/>
      <c r="C17" s="2"/>
      <c r="D17" s="2"/>
      <c r="E17" s="2"/>
      <c r="G17" s="4"/>
      <c r="H17" s="6"/>
      <c r="I17" s="6"/>
      <c r="J17" s="6"/>
      <c r="K17" s="6"/>
      <c r="L17" s="6"/>
      <c r="M17" s="6"/>
      <c r="N17" s="6"/>
      <c r="O17" s="6"/>
    </row>
    <row r="18" spans="1:20" ht="56.25" customHeight="1" x14ac:dyDescent="0.25">
      <c r="A18" s="19" t="s">
        <v>66</v>
      </c>
      <c r="B18" s="20" t="s">
        <v>15</v>
      </c>
      <c r="C18" s="19" t="s">
        <v>38</v>
      </c>
      <c r="D18" s="19" t="s">
        <v>39</v>
      </c>
      <c r="E18" s="22" t="s">
        <v>40</v>
      </c>
      <c r="F18" s="23" t="s">
        <v>41</v>
      </c>
      <c r="G18" s="24" t="s">
        <v>42</v>
      </c>
      <c r="H18" s="23" t="s">
        <v>43</v>
      </c>
      <c r="I18" s="24" t="s">
        <v>44</v>
      </c>
      <c r="J18" s="23" t="s">
        <v>45</v>
      </c>
      <c r="K18" s="24" t="s">
        <v>46</v>
      </c>
      <c r="L18" s="23" t="s">
        <v>47</v>
      </c>
      <c r="M18" s="24" t="s">
        <v>48</v>
      </c>
      <c r="N18" s="23" t="s">
        <v>49</v>
      </c>
      <c r="O18" s="24" t="s">
        <v>50</v>
      </c>
      <c r="P18" s="23" t="s">
        <v>51</v>
      </c>
      <c r="Q18" s="24" t="s">
        <v>52</v>
      </c>
      <c r="R18" s="23" t="s">
        <v>53</v>
      </c>
      <c r="S18" s="24" t="s">
        <v>54</v>
      </c>
      <c r="T18" s="22" t="s">
        <v>57</v>
      </c>
    </row>
    <row r="19" spans="1:20" x14ac:dyDescent="0.25">
      <c r="A19" s="17">
        <v>1</v>
      </c>
      <c r="B19" s="26"/>
      <c r="C19" s="28"/>
      <c r="D19" s="28"/>
      <c r="E19" s="3">
        <f>+IF(Tableau1510[[#This Row],[Nombre de 
marchandises]]="",0,Tableau1510[[#This Row],[Date fin
''Livraison'']]-Tableau1510[[#This Row],[Date début
''Débarquement'']]+1)</f>
        <v>1</v>
      </c>
      <c r="F19" s="29">
        <f>IF(Tableau1510[[#This Row],[Nombre
jours
total]]&lt;=F$11,Tableau1510[[#This Row],[Nombre
jours
total]],F$11)</f>
        <v>1</v>
      </c>
      <c r="G19" s="30">
        <f>IFERROR(VLOOKUP(Tableau1510[[#This Row],[Type]],Tableau611[],3,FALSE)*Tableau1510[[#This Row],[Tranche 1
import
nb jour]]*Tableau1510[[#This Row],[Nombre de 
marchandises]],0)</f>
        <v>0</v>
      </c>
      <c r="H19" s="29">
        <f>IF(AND(Tableau1510[[#This Row],[Nombre
jours
total]]&gt;=G$10,Tableau1510[[#This Row],[Nombre
jours
total]]&lt;=G$11),Tableau1510[[#This Row],[Nombre
jours
total]]-G$10+1,IF(Tableau1510[[#This Row],[Nombre
jours
total]]&lt;G$10,0,IF(Tableau1510[[#This Row],[Nombre
jours
total]]&gt;G$11,G$11-G$10+1)))</f>
        <v>0</v>
      </c>
      <c r="I19" s="31">
        <f>IFERROR(VLOOKUP(Tableau1510[[#This Row],[Type]],Tableau611[],4,FALSE)*Tableau1510[[#This Row],[Tranche 2
import
nb jour]]*Tableau1510[[#This Row],[Nombre de 
marchandises]],0)</f>
        <v>0</v>
      </c>
      <c r="J19" s="29">
        <f>IF(AND(Tableau1510[[#This Row],[Nombre
jours
total]]&gt;=H$10,Tableau1510[[#This Row],[Nombre
jours
total]]&lt;=H$11),Tableau1510[[#This Row],[Nombre
jours
total]]-H$10+1,IF(Tableau1510[[#This Row],[Nombre
jours
total]]&lt;H$10,0,IF(Tableau1510[[#This Row],[Nombre
jours
total]]&gt;H$11,H$11-H$10+1)))</f>
        <v>0</v>
      </c>
      <c r="K19" s="31">
        <f>IFERROR(VLOOKUP(Tableau1510[[#This Row],[Type]],Tableau611[],5,FALSE)*Tableau1510[[#This Row],[Tranche 3
import
nb jour]]*Tableau1510[[#This Row],[Nombre de 
marchandises]],0)</f>
        <v>0</v>
      </c>
      <c r="L19" s="29">
        <f>IF(AND(Tableau1510[[#This Row],[Nombre
jours
total]]&gt;=I$10,Tableau1510[[#This Row],[Nombre
jours
total]]&lt;=I$11),Tableau1510[[#This Row],[Nombre
jours
total]]-I$10+1,IF(Tableau1510[[#This Row],[Nombre
jours
total]]&lt;I$10,0,IF(Tableau1510[[#This Row],[Nombre
jours
total]]&gt;I$11,I$11-I$10+1)))</f>
        <v>0</v>
      </c>
      <c r="M19" s="31">
        <f>IFERROR(VLOOKUP(Tableau1510[[#This Row],[Type]],Tableau611[],6,FALSE)*Tableau1510[[#This Row],[Tranche 4
import
nb jour]]*Tableau1510[[#This Row],[Nombre de 
marchandises]],0)</f>
        <v>0</v>
      </c>
      <c r="N19" s="29">
        <f>IF(AND(Tableau1510[[#This Row],[Nombre
jours
total]]&gt;=J$10,Tableau1510[[#This Row],[Nombre
jours
total]]&lt;=J$11),Tableau1510[[#This Row],[Nombre
jours
total]]-J$10+1,IF(Tableau1510[[#This Row],[Nombre
jours
total]]&lt;J$10,0,IF(Tableau1510[[#This Row],[Nombre
jours
total]]&gt;J$11,J$11-J$10+1)))</f>
        <v>0</v>
      </c>
      <c r="O19" s="31">
        <f>IFERROR(VLOOKUP(Tableau1510[[#This Row],[Type]],Tableau611[],7,FALSE)*Tableau1510[[#This Row],[Tranche 5
import
nb jour]]*Tableau1510[[#This Row],[Nombre de 
marchandises]],0)</f>
        <v>0</v>
      </c>
      <c r="P19" s="29">
        <f>IF(AND(Tableau1510[[#This Row],[Nombre
jours
total]]&gt;=K$10,Tableau1510[[#This Row],[Nombre
jours
total]]&lt;=K$11),Tableau1510[[#This Row],[Nombre
jours
total]]-K$10+1,IF(Tableau1510[[#This Row],[Nombre
jours
total]]&lt;K$10,0,IF(Tableau1510[[#This Row],[Nombre
jours
total]]&gt;K$11,K$11-K$10+1)))</f>
        <v>0</v>
      </c>
      <c r="Q19" s="31">
        <f>IFERROR(VLOOKUP(Tableau1510[[#This Row],[Type]],Tableau611[],8,FALSE)*Tableau1510[[#This Row],[Tranche 6
import
nb jour]]*Tableau1510[[#This Row],[Nombre de 
marchandises]],0)</f>
        <v>0</v>
      </c>
      <c r="R19" s="29">
        <f>IF(AND(Tableau1510[[#This Row],[Nombre
jours
total]]&gt;=L$10,Tableau1510[[#This Row],[Nombre
jours
total]]&lt;=L$11),Tableau1510[[#This Row],[Nombre
jours
total]]-L$10+1,IF(Tableau1510[[#This Row],[Nombre
jours
total]]&lt;L$10,0,IF(Tableau1510[[#This Row],[Nombre
jours
total]]&gt;L$11,L$11-L$10+1)))</f>
        <v>0</v>
      </c>
      <c r="S19" s="31">
        <f>IFERROR(VLOOKUP(Tableau1510[[#This Row],[Type]],Tableau611[],9,FALSE)*Tableau1510[[#This Row],[Tranche 6
import
nb jour]]*Tableau1510[[#This Row],[Nombre de 
marchandises]],0)</f>
        <v>0</v>
      </c>
      <c r="T19" s="31">
        <f>+Tableau1510[[#This Row],[Tranche 7
Import
coût]]+Tableau1510[[#This Row],[Tranche 6
Import
coût]]+Tableau1510[[#This Row],[Tranche 5
Import
coût]]+Tableau1510[[#This Row],[Tranche 4
Import
coût]]+Tableau1510[[#This Row],[Tranche 3
Import
coût]]+Tableau1510[[#This Row],[Tranche 2
Import
coût]]+Tableau1510[[#This Row],[Tranche 1
Import
coût]]</f>
        <v>0</v>
      </c>
    </row>
  </sheetData>
  <mergeCells count="5">
    <mergeCell ref="A1:T1"/>
    <mergeCell ref="A2:T2"/>
    <mergeCell ref="A4:T4"/>
    <mergeCell ref="A14:N14"/>
    <mergeCell ref="A15:N15"/>
  </mergeCells>
  <dataValidations count="1">
    <dataValidation type="list" allowBlank="1" showInputMessage="1" showErrorMessage="1" sqref="B19" xr:uid="{ED1022B1-69DA-4CF2-8013-B409D38A41FC}">
      <formula1>Marchandise</formula1>
    </dataValidation>
  </dataValidation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0BB45-C67D-4D84-B027-06847BEE32B1}">
  <sheetPr>
    <tabColor theme="5"/>
  </sheetPr>
  <dimension ref="A1:Z22"/>
  <sheetViews>
    <sheetView showGridLines="0" showZeros="0" zoomScale="85" zoomScaleNormal="85" workbookViewId="0">
      <pane xSplit="6" ySplit="4" topLeftCell="G5" activePane="bottomRight" state="frozen"/>
      <selection pane="topRight" activeCell="F41" sqref="F41"/>
      <selection pane="bottomLeft" activeCell="F41" sqref="F41"/>
      <selection pane="bottomRight" activeCell="A23" sqref="A23"/>
    </sheetView>
  </sheetViews>
  <sheetFormatPr baseColWidth="10" defaultColWidth="11.42578125" defaultRowHeight="15" x14ac:dyDescent="0.25"/>
  <cols>
    <col min="1" max="1" width="16.42578125" style="17" customWidth="1"/>
    <col min="2" max="2" width="10.7109375" style="17" bestFit="1" customWidth="1"/>
    <col min="3" max="3" width="14" style="17" bestFit="1" customWidth="1"/>
    <col min="4" max="5" width="18.42578125" style="17" customWidth="1"/>
    <col min="6" max="6" width="14.140625" style="2" hidden="1" customWidth="1"/>
    <col min="7" max="7" width="12.42578125" style="2" bestFit="1" customWidth="1"/>
    <col min="8" max="13" width="12.85546875" style="2" bestFit="1" customWidth="1"/>
    <col min="14" max="14" width="12.85546875" style="3" bestFit="1" customWidth="1"/>
    <col min="15" max="23" width="12.85546875" style="2" bestFit="1" customWidth="1"/>
    <col min="24" max="24" width="20.5703125" style="2" customWidth="1"/>
    <col min="25" max="25" width="14.28515625" style="2" hidden="1" customWidth="1"/>
    <col min="26" max="16384" width="11.42578125" style="2"/>
  </cols>
  <sheetData>
    <row r="1" spans="1:25" ht="24" x14ac:dyDescent="0.25">
      <c r="A1" s="39" t="s">
        <v>59</v>
      </c>
      <c r="B1" s="39"/>
      <c r="C1" s="39"/>
      <c r="D1" s="39"/>
      <c r="E1" s="39"/>
      <c r="F1" s="39"/>
      <c r="G1" s="39"/>
      <c r="H1" s="39"/>
      <c r="I1" s="39"/>
      <c r="J1" s="39"/>
      <c r="K1" s="39"/>
      <c r="L1" s="39"/>
      <c r="M1" s="39"/>
      <c r="N1" s="39"/>
      <c r="O1" s="39"/>
      <c r="P1" s="39"/>
      <c r="Q1" s="39"/>
      <c r="R1" s="39"/>
      <c r="S1" s="39"/>
      <c r="T1" s="39"/>
      <c r="U1" s="39"/>
      <c r="V1" s="39"/>
      <c r="W1" s="39"/>
      <c r="X1" s="39"/>
      <c r="Y1" s="39"/>
    </row>
    <row r="2" spans="1:25" ht="51.75" customHeight="1" x14ac:dyDescent="0.25">
      <c r="A2" s="43" t="s">
        <v>87</v>
      </c>
      <c r="B2" s="39"/>
      <c r="C2" s="39"/>
      <c r="D2" s="39"/>
      <c r="E2" s="39"/>
      <c r="F2" s="39"/>
      <c r="G2" s="39"/>
      <c r="H2" s="39"/>
      <c r="I2" s="39"/>
      <c r="J2" s="39"/>
      <c r="K2" s="39"/>
      <c r="L2" s="39"/>
      <c r="M2" s="39"/>
      <c r="N2" s="39"/>
      <c r="O2" s="39"/>
      <c r="P2" s="39"/>
      <c r="Q2" s="39"/>
      <c r="R2" s="39"/>
      <c r="S2" s="39"/>
      <c r="T2" s="39"/>
      <c r="U2" s="39"/>
      <c r="V2" s="39"/>
      <c r="W2" s="39"/>
      <c r="X2" s="39"/>
      <c r="Y2" s="39"/>
    </row>
    <row r="3" spans="1:25" s="36" customFormat="1" ht="24" x14ac:dyDescent="0.25">
      <c r="A3" s="42" t="s">
        <v>12</v>
      </c>
      <c r="B3" s="42"/>
      <c r="C3" s="42"/>
      <c r="D3" s="42"/>
      <c r="E3" s="42"/>
      <c r="F3" s="42"/>
      <c r="G3" s="42"/>
      <c r="H3" s="42"/>
      <c r="I3" s="42"/>
      <c r="J3" s="42"/>
      <c r="K3" s="42"/>
      <c r="L3" s="42"/>
      <c r="M3" s="42"/>
      <c r="N3" s="42"/>
      <c r="O3" s="42"/>
      <c r="P3" s="42"/>
      <c r="Q3" s="42"/>
      <c r="R3" s="42"/>
      <c r="S3" s="42"/>
      <c r="T3" s="42"/>
      <c r="U3" s="42"/>
      <c r="V3" s="42"/>
      <c r="W3" s="42"/>
      <c r="X3" s="42"/>
      <c r="Y3" s="42"/>
    </row>
    <row r="4" spans="1:25" ht="37.5" customHeight="1" x14ac:dyDescent="0.25">
      <c r="A4" s="40" t="s">
        <v>13</v>
      </c>
      <c r="B4" s="40"/>
      <c r="C4" s="40"/>
      <c r="D4" s="40"/>
      <c r="E4" s="40"/>
      <c r="F4" s="40"/>
      <c r="G4" s="40"/>
      <c r="H4" s="40"/>
      <c r="I4" s="40"/>
      <c r="J4" s="40"/>
      <c r="K4" s="40"/>
      <c r="L4" s="40"/>
      <c r="M4" s="40"/>
      <c r="N4" s="40"/>
      <c r="O4" s="40"/>
      <c r="P4" s="40"/>
      <c r="Q4" s="40"/>
      <c r="R4" s="40"/>
      <c r="S4" s="40"/>
      <c r="T4" s="40"/>
      <c r="U4" s="40"/>
      <c r="V4" s="40"/>
      <c r="W4" s="40"/>
      <c r="X4" s="40"/>
      <c r="Y4" s="40"/>
    </row>
    <row r="5" spans="1:25" x14ac:dyDescent="0.25">
      <c r="A5" s="2"/>
      <c r="B5" s="2"/>
      <c r="C5" s="2"/>
      <c r="D5" s="2"/>
      <c r="E5" s="2"/>
    </row>
    <row r="6" spans="1:25" x14ac:dyDescent="0.25">
      <c r="A6" s="2"/>
      <c r="B6" s="2"/>
      <c r="C6" s="2"/>
      <c r="D6" s="7" t="s">
        <v>14</v>
      </c>
      <c r="E6" s="7" t="s">
        <v>15</v>
      </c>
      <c r="F6" s="2" t="s">
        <v>16</v>
      </c>
      <c r="G6" s="2" t="s">
        <v>17</v>
      </c>
      <c r="H6" s="2" t="s">
        <v>18</v>
      </c>
      <c r="I6" s="2" t="s">
        <v>19</v>
      </c>
      <c r="J6" s="2" t="s">
        <v>20</v>
      </c>
      <c r="K6" s="2" t="s">
        <v>21</v>
      </c>
      <c r="L6" s="2" t="s">
        <v>22</v>
      </c>
      <c r="M6" s="2" t="s">
        <v>23</v>
      </c>
      <c r="N6" s="2" t="s">
        <v>24</v>
      </c>
    </row>
    <row r="7" spans="1:25" x14ac:dyDescent="0.25">
      <c r="A7" s="2"/>
      <c r="B7" s="2"/>
      <c r="C7" s="2"/>
      <c r="D7" s="8" t="s">
        <v>3</v>
      </c>
      <c r="E7" s="8"/>
      <c r="F7" s="8" t="s">
        <v>3</v>
      </c>
      <c r="G7" s="9" t="s">
        <v>25</v>
      </c>
      <c r="H7" s="10">
        <v>5.78</v>
      </c>
      <c r="I7" s="10">
        <v>10.5</v>
      </c>
      <c r="J7" s="10">
        <v>11.55</v>
      </c>
      <c r="K7" s="10">
        <v>16.8</v>
      </c>
      <c r="L7" s="10">
        <v>45.15</v>
      </c>
      <c r="M7" s="10">
        <v>78.23</v>
      </c>
      <c r="N7" s="10">
        <v>100.8</v>
      </c>
      <c r="Q7" s="5"/>
      <c r="W7" s="4"/>
    </row>
    <row r="8" spans="1:25" x14ac:dyDescent="0.25">
      <c r="A8" s="2"/>
      <c r="B8" s="2"/>
      <c r="C8" s="2"/>
      <c r="D8" s="8" t="s">
        <v>3</v>
      </c>
      <c r="E8" s="8" t="s">
        <v>26</v>
      </c>
      <c r="F8" s="8" t="s">
        <v>27</v>
      </c>
      <c r="G8" s="9" t="s">
        <v>25</v>
      </c>
      <c r="H8" s="10">
        <f>+H7*2</f>
        <v>11.56</v>
      </c>
      <c r="I8" s="10">
        <f t="shared" ref="I8:N8" si="0">+I7*2</f>
        <v>21</v>
      </c>
      <c r="J8" s="10">
        <f t="shared" si="0"/>
        <v>23.1</v>
      </c>
      <c r="K8" s="10">
        <f t="shared" si="0"/>
        <v>33.6</v>
      </c>
      <c r="L8" s="10">
        <f t="shared" si="0"/>
        <v>90.3</v>
      </c>
      <c r="M8" s="10">
        <f t="shared" si="0"/>
        <v>156.46</v>
      </c>
      <c r="N8" s="10">
        <f t="shared" si="0"/>
        <v>201.6</v>
      </c>
      <c r="W8" s="4"/>
    </row>
    <row r="9" spans="1:25" x14ac:dyDescent="0.25">
      <c r="A9" s="2"/>
      <c r="B9" s="2"/>
      <c r="C9" s="2"/>
      <c r="D9" s="8" t="s">
        <v>6</v>
      </c>
      <c r="E9" s="8"/>
      <c r="F9" s="8" t="s">
        <v>6</v>
      </c>
      <c r="G9" s="9" t="s">
        <v>25</v>
      </c>
      <c r="H9" s="10">
        <v>11.55</v>
      </c>
      <c r="I9" s="10">
        <v>13.65</v>
      </c>
      <c r="J9" s="10">
        <v>16.8</v>
      </c>
      <c r="K9" s="10">
        <v>33.6</v>
      </c>
      <c r="L9" s="10">
        <v>100.8</v>
      </c>
      <c r="M9" s="10">
        <v>123.38</v>
      </c>
      <c r="N9" s="10">
        <v>162.22999999999999</v>
      </c>
      <c r="W9" s="4"/>
    </row>
    <row r="10" spans="1:25" x14ac:dyDescent="0.25">
      <c r="A10" s="2"/>
      <c r="B10" s="2"/>
      <c r="C10" s="2"/>
      <c r="D10" s="8" t="s">
        <v>6</v>
      </c>
      <c r="E10" s="8" t="s">
        <v>26</v>
      </c>
      <c r="F10" s="8" t="s">
        <v>28</v>
      </c>
      <c r="G10" s="9" t="s">
        <v>25</v>
      </c>
      <c r="H10" s="10">
        <f>+H9*2</f>
        <v>23.1</v>
      </c>
      <c r="I10" s="10">
        <f t="shared" ref="I10:N10" si="1">+I9*2</f>
        <v>27.3</v>
      </c>
      <c r="J10" s="10">
        <f t="shared" si="1"/>
        <v>33.6</v>
      </c>
      <c r="K10" s="10">
        <f t="shared" si="1"/>
        <v>67.2</v>
      </c>
      <c r="L10" s="10">
        <f t="shared" si="1"/>
        <v>201.6</v>
      </c>
      <c r="M10" s="10">
        <f t="shared" si="1"/>
        <v>246.76</v>
      </c>
      <c r="N10" s="10">
        <f t="shared" si="1"/>
        <v>324.45999999999998</v>
      </c>
      <c r="W10" s="4"/>
    </row>
    <row r="11" spans="1:25" x14ac:dyDescent="0.25">
      <c r="A11" s="2"/>
      <c r="B11" s="2"/>
      <c r="C11" s="2"/>
      <c r="D11" s="8" t="s">
        <v>9</v>
      </c>
      <c r="E11" s="8"/>
      <c r="F11" s="8" t="s">
        <v>9</v>
      </c>
      <c r="G11" s="9" t="s">
        <v>25</v>
      </c>
      <c r="H11" s="10">
        <v>12.99</v>
      </c>
      <c r="I11" s="10">
        <v>15.36</v>
      </c>
      <c r="J11" s="10">
        <v>18.899999999999999</v>
      </c>
      <c r="K11" s="10">
        <v>37.799999999999997</v>
      </c>
      <c r="L11" s="10">
        <v>113.4</v>
      </c>
      <c r="M11" s="10">
        <v>138.80000000000001</v>
      </c>
      <c r="N11" s="10">
        <v>182.5</v>
      </c>
      <c r="W11" s="4"/>
    </row>
    <row r="12" spans="1:25" x14ac:dyDescent="0.25">
      <c r="A12" s="2"/>
      <c r="B12" s="2"/>
      <c r="C12" s="2"/>
      <c r="D12" s="8" t="s">
        <v>9</v>
      </c>
      <c r="E12" s="8" t="s">
        <v>26</v>
      </c>
      <c r="F12" s="8" t="s">
        <v>29</v>
      </c>
      <c r="G12" s="9" t="s">
        <v>25</v>
      </c>
      <c r="H12" s="10">
        <f>+H11*2</f>
        <v>25.98</v>
      </c>
      <c r="I12" s="10">
        <f t="shared" ref="I12:N12" si="2">+I11*2</f>
        <v>30.72</v>
      </c>
      <c r="J12" s="10">
        <f t="shared" si="2"/>
        <v>37.799999999999997</v>
      </c>
      <c r="K12" s="10">
        <f t="shared" si="2"/>
        <v>75.599999999999994</v>
      </c>
      <c r="L12" s="10">
        <f t="shared" si="2"/>
        <v>226.8</v>
      </c>
      <c r="M12" s="10">
        <f t="shared" si="2"/>
        <v>277.60000000000002</v>
      </c>
      <c r="N12" s="10">
        <f t="shared" si="2"/>
        <v>365</v>
      </c>
      <c r="W12" s="4"/>
    </row>
    <row r="13" spans="1:25" x14ac:dyDescent="0.25">
      <c r="A13" s="2"/>
      <c r="B13" s="2"/>
      <c r="C13" s="2"/>
      <c r="D13" s="16" t="s">
        <v>30</v>
      </c>
      <c r="E13" s="11"/>
      <c r="F13" s="11"/>
      <c r="G13" s="6">
        <v>0</v>
      </c>
      <c r="H13" s="6">
        <f>+G14+1</f>
        <v>9</v>
      </c>
      <c r="I13" s="6">
        <f>+H14+1</f>
        <v>11</v>
      </c>
      <c r="J13" s="6">
        <f t="shared" ref="J13:M13" si="3">+I14+1</f>
        <v>16</v>
      </c>
      <c r="K13" s="6">
        <f t="shared" si="3"/>
        <v>22</v>
      </c>
      <c r="L13" s="6">
        <f t="shared" si="3"/>
        <v>35</v>
      </c>
      <c r="M13" s="6">
        <f t="shared" si="3"/>
        <v>45</v>
      </c>
      <c r="N13" s="6">
        <f>+M14+1</f>
        <v>91</v>
      </c>
      <c r="W13" s="4"/>
    </row>
    <row r="14" spans="1:25" x14ac:dyDescent="0.25">
      <c r="A14" s="2"/>
      <c r="B14" s="2"/>
      <c r="C14" s="2"/>
      <c r="D14" s="16" t="s">
        <v>31</v>
      </c>
      <c r="E14" s="11"/>
      <c r="F14" s="11"/>
      <c r="G14" s="6">
        <v>8</v>
      </c>
      <c r="H14" s="6">
        <v>10</v>
      </c>
      <c r="I14" s="6">
        <v>15</v>
      </c>
      <c r="J14" s="6">
        <v>21</v>
      </c>
      <c r="K14" s="6">
        <v>34</v>
      </c>
      <c r="L14" s="6">
        <v>44</v>
      </c>
      <c r="M14" s="6">
        <v>90</v>
      </c>
      <c r="N14" s="14">
        <v>999999</v>
      </c>
      <c r="W14" s="4"/>
    </row>
    <row r="15" spans="1:25" x14ac:dyDescent="0.25">
      <c r="A15" s="2"/>
      <c r="B15" s="2"/>
      <c r="C15" s="2"/>
      <c r="D15" s="8" t="s">
        <v>32</v>
      </c>
      <c r="E15" s="8"/>
      <c r="F15" s="8"/>
      <c r="G15" s="6">
        <f>+G14</f>
        <v>8</v>
      </c>
      <c r="H15" s="6">
        <f>+H14-H13+1</f>
        <v>2</v>
      </c>
      <c r="I15" s="6">
        <f t="shared" ref="I15:L15" si="4">+I14-I13+1</f>
        <v>5</v>
      </c>
      <c r="J15" s="6">
        <f t="shared" si="4"/>
        <v>6</v>
      </c>
      <c r="K15" s="6">
        <f t="shared" si="4"/>
        <v>13</v>
      </c>
      <c r="L15" s="6">
        <f t="shared" si="4"/>
        <v>10</v>
      </c>
      <c r="M15" s="6">
        <f>+M14-M13+1</f>
        <v>46</v>
      </c>
      <c r="N15" s="15">
        <f>+N14-N13+1</f>
        <v>999909</v>
      </c>
      <c r="W15" s="4"/>
    </row>
    <row r="16" spans="1:25" x14ac:dyDescent="0.25">
      <c r="A16" s="2"/>
      <c r="B16" s="2"/>
      <c r="C16" s="2"/>
      <c r="D16" s="2"/>
      <c r="E16" s="2"/>
      <c r="G16" s="4"/>
      <c r="H16" s="6"/>
      <c r="I16" s="6"/>
      <c r="J16" s="6"/>
      <c r="K16" s="6"/>
      <c r="L16" s="6"/>
      <c r="M16" s="6"/>
      <c r="N16" s="6"/>
      <c r="O16" s="6"/>
      <c r="V16" s="4"/>
    </row>
    <row r="17" spans="1:26" x14ac:dyDescent="0.25">
      <c r="A17" s="41" t="s">
        <v>33</v>
      </c>
      <c r="B17" s="41"/>
      <c r="C17" s="41"/>
      <c r="D17" s="41"/>
      <c r="E17" s="41"/>
      <c r="F17" s="41"/>
      <c r="G17" s="41"/>
      <c r="H17" s="41"/>
      <c r="I17" s="41"/>
      <c r="J17" s="41"/>
      <c r="K17" s="41"/>
      <c r="L17" s="41"/>
      <c r="M17" s="41"/>
      <c r="N17" s="41"/>
      <c r="O17" s="12"/>
      <c r="P17" s="12"/>
      <c r="Q17" s="12"/>
      <c r="R17" s="12"/>
      <c r="S17" s="12"/>
      <c r="T17" s="12"/>
      <c r="U17" s="12"/>
      <c r="V17" s="12"/>
      <c r="W17" s="12"/>
      <c r="X17" s="12"/>
      <c r="Y17" s="12"/>
    </row>
    <row r="18" spans="1:26" ht="15.75" thickBot="1" x14ac:dyDescent="0.3">
      <c r="A18" s="41" t="s">
        <v>34</v>
      </c>
      <c r="B18" s="41"/>
      <c r="C18" s="41"/>
      <c r="D18" s="41"/>
      <c r="E18" s="41"/>
      <c r="F18" s="41"/>
      <c r="G18" s="41"/>
      <c r="H18" s="41"/>
      <c r="I18" s="41"/>
      <c r="J18" s="41"/>
      <c r="K18" s="41"/>
      <c r="L18" s="41"/>
      <c r="M18" s="41"/>
      <c r="N18" s="41"/>
      <c r="O18" s="12"/>
      <c r="P18" s="12"/>
      <c r="Q18" s="12"/>
      <c r="R18" s="12"/>
      <c r="S18" s="12"/>
      <c r="T18" s="12"/>
      <c r="U18" s="12"/>
      <c r="V18" s="12"/>
      <c r="W18" s="12"/>
      <c r="Y18" s="12"/>
    </row>
    <row r="19" spans="1:26" ht="30.75" thickTop="1" x14ac:dyDescent="0.25">
      <c r="A19" s="13" t="s">
        <v>35</v>
      </c>
      <c r="B19" s="12"/>
      <c r="C19" s="12"/>
      <c r="D19" s="12"/>
      <c r="E19" s="12"/>
      <c r="F19" s="12"/>
      <c r="G19" s="12"/>
      <c r="H19" s="12"/>
      <c r="I19" s="12"/>
      <c r="J19" s="12"/>
      <c r="K19" s="12"/>
      <c r="L19" s="12"/>
      <c r="M19" s="12"/>
      <c r="N19" s="12"/>
      <c r="O19" s="12"/>
      <c r="P19" s="12"/>
      <c r="Q19" s="12"/>
      <c r="R19" s="12"/>
      <c r="S19" s="12"/>
      <c r="T19" s="12"/>
      <c r="U19" s="12"/>
      <c r="V19" s="12"/>
      <c r="W19" s="12"/>
      <c r="Y19" s="12"/>
    </row>
    <row r="20" spans="1:26" ht="22.5" customHeight="1" x14ac:dyDescent="0.25">
      <c r="A20" s="18">
        <f>SUBTOTAL(9,Tableau158[Total
Stationnement])</f>
        <v>0</v>
      </c>
      <c r="B20" s="2"/>
      <c r="C20" s="2"/>
      <c r="D20" s="2"/>
      <c r="E20" s="2"/>
      <c r="G20" s="4"/>
      <c r="H20" s="6"/>
      <c r="I20" s="6"/>
      <c r="J20" s="6"/>
      <c r="K20" s="6"/>
      <c r="L20" s="6"/>
      <c r="M20" s="6"/>
      <c r="N20" s="6"/>
      <c r="O20" s="6"/>
      <c r="V20" s="4"/>
    </row>
    <row r="21" spans="1:26" s="25" customFormat="1" ht="56.25" customHeight="1" x14ac:dyDescent="0.25">
      <c r="A21" s="19" t="s">
        <v>36</v>
      </c>
      <c r="B21" s="20" t="s">
        <v>14</v>
      </c>
      <c r="C21" s="20" t="s">
        <v>37</v>
      </c>
      <c r="D21" s="19" t="s">
        <v>67</v>
      </c>
      <c r="E21" s="19" t="s">
        <v>68</v>
      </c>
      <c r="F21" s="21" t="s">
        <v>16</v>
      </c>
      <c r="G21" s="22" t="s">
        <v>40</v>
      </c>
      <c r="H21" s="23" t="s">
        <v>69</v>
      </c>
      <c r="I21" s="24" t="s">
        <v>70</v>
      </c>
      <c r="J21" s="23" t="s">
        <v>71</v>
      </c>
      <c r="K21" s="24" t="s">
        <v>72</v>
      </c>
      <c r="L21" s="23" t="s">
        <v>73</v>
      </c>
      <c r="M21" s="24" t="s">
        <v>74</v>
      </c>
      <c r="N21" s="23" t="s">
        <v>75</v>
      </c>
      <c r="O21" s="24" t="s">
        <v>76</v>
      </c>
      <c r="P21" s="23" t="s">
        <v>77</v>
      </c>
      <c r="Q21" s="24" t="s">
        <v>78</v>
      </c>
      <c r="R21" s="23" t="s">
        <v>79</v>
      </c>
      <c r="S21" s="24" t="s">
        <v>80</v>
      </c>
      <c r="T21" s="23" t="s">
        <v>81</v>
      </c>
      <c r="U21" s="24" t="s">
        <v>82</v>
      </c>
      <c r="V21" s="23" t="s">
        <v>83</v>
      </c>
      <c r="W21" s="24" t="s">
        <v>84</v>
      </c>
      <c r="X21" s="22" t="s">
        <v>57</v>
      </c>
      <c r="Y21" s="21" t="s">
        <v>58</v>
      </c>
      <c r="Z21" s="2"/>
    </row>
    <row r="22" spans="1:26" x14ac:dyDescent="0.25">
      <c r="A22" s="17">
        <v>1</v>
      </c>
      <c r="B22" s="26"/>
      <c r="C22" s="27"/>
      <c r="D22" s="28"/>
      <c r="E22" s="28"/>
      <c r="F22" s="4">
        <f>IF(OR(Tableau158[[#This Row],[Type
OH/DGX]]="DGX",Tableau158[[#This Row],[Type
OH/DGX]]="OH"),CONCATENATE(Tableau158[[#This Row],[Taille]]," ohdgx"),Tableau158[[#This Row],[Taille]])</f>
        <v>0</v>
      </c>
      <c r="G22" s="3">
        <f>+IF(Tableau158[[#This Row],[Nombre de 
conteneur]]="",0,Tableau158[[#This Row],[Date fin
''Embarquement'']]-Tableau158[[#This Row],[Date début
''Réception'']]+1)</f>
        <v>1</v>
      </c>
      <c r="H22" s="29">
        <f>IF(Tableau158[[#This Row],[Nombre
jours
total]]&lt;=G$14,Tableau158[[#This Row],[Nombre
jours
total]],G$14)</f>
        <v>1</v>
      </c>
      <c r="I22" s="30">
        <f>IFERROR(VLOOKUP(Tableau158[[#This Row],[20/40OH]],Tableau69[[20/40OH]:[tranche 8]],2,FALSE)*Tableau158[[#This Row],[Tranche 1
export
nb jour]]*Tableau158[[#This Row],[Nombre de 
conteneur]],0)</f>
        <v>0</v>
      </c>
      <c r="J22" s="29">
        <f>IF(AND(Tableau158[[#This Row],[Nombre
jours
total]]&gt;=H$13,Tableau158[[#This Row],[Nombre
jours
total]]&lt;=H$14),Tableau158[[#This Row],[Nombre
jours
total]]-H$13+1,IF(Tableau158[[#This Row],[Nombre
jours
total]]&lt;H$13,0,IF(Tableau158[[#This Row],[Nombre
jours
total]]&gt;H$14,H$14-H$13+1)))</f>
        <v>0</v>
      </c>
      <c r="K22" s="31">
        <f>IFERROR(VLOOKUP(Tableau158[[#This Row],[20/40OH]],Tableau69[[20/40OH]:[tranche 8]],3,FALSE)*Tableau158[[#This Row],[Tranche 2
export
nb jour]]*Tableau158[[#This Row],[Nombre de 
conteneur]],0)</f>
        <v>0</v>
      </c>
      <c r="L22" s="29">
        <f>IF(AND(Tableau158[[#This Row],[Nombre
jours
total]]&gt;=I$13,Tableau158[[#This Row],[Nombre
jours
total]]&lt;=I$14),Tableau158[[#This Row],[Nombre
jours
total]]-I$13+1,IF(Tableau158[[#This Row],[Nombre
jours
total]]&lt;I$13,0,IF(Tableau158[[#This Row],[Nombre
jours
total]]&gt;I$14,I$14-I$13+1)))</f>
        <v>0</v>
      </c>
      <c r="M22" s="31">
        <f>IFERROR(VLOOKUP(Tableau158[[#This Row],[20/40OH]],Tableau69[[20/40OH]:[tranche 8]],4,FALSE)*Tableau158[[#This Row],[Tranche 3
export
nb jour]]*Tableau158[[#This Row],[Nombre de 
conteneur]],0)</f>
        <v>0</v>
      </c>
      <c r="N22" s="29">
        <f>IF(AND(Tableau158[[#This Row],[Nombre
jours
total]]&gt;=J$13,Tableau158[[#This Row],[Nombre
jours
total]]&lt;=J$14),Tableau158[[#This Row],[Nombre
jours
total]]-J$13+1,IF(Tableau158[[#This Row],[Nombre
jours
total]]&lt;J$13,0,IF(Tableau158[[#This Row],[Nombre
jours
total]]&gt;J$14,J$14-J$13+1)))</f>
        <v>0</v>
      </c>
      <c r="O22" s="31">
        <f>IFERROR(VLOOKUP(Tableau158[[#This Row],[20/40OH]],Tableau69[[20/40OH]:[tranche 8]],5,FALSE)*Tableau158[[#This Row],[Tranche 4
export
nb jour]]*Tableau158[[#This Row],[Nombre de 
conteneur]],0)</f>
        <v>0</v>
      </c>
      <c r="P22" s="29">
        <f>IF(AND(Tableau158[[#This Row],[Nombre
jours
total]]&gt;=K$13,Tableau158[[#This Row],[Nombre
jours
total]]&lt;=K$14),Tableau158[[#This Row],[Nombre
jours
total]]-K$13+1,IF(Tableau158[[#This Row],[Nombre
jours
total]]&lt;K$13,0,IF(Tableau158[[#This Row],[Nombre
jours
total]]&gt;K$14,K$14-K$13+1)))</f>
        <v>0</v>
      </c>
      <c r="Q22" s="31">
        <f>IFERROR(VLOOKUP(Tableau158[[#This Row],[20/40OH]],Tableau69[[20/40OH]:[tranche 8]],6,FALSE)*Tableau158[[#This Row],[Tranche 5
export
nb jour]]*Tableau158[[#This Row],[Nombre de 
conteneur]],0)</f>
        <v>0</v>
      </c>
      <c r="R22" s="29">
        <f>IF(AND(Tableau158[[#This Row],[Nombre
jours
total]]&gt;=L$13,Tableau158[[#This Row],[Nombre
jours
total]]&lt;=L$14),Tableau158[[#This Row],[Nombre
jours
total]]-L$13+1,IF(Tableau158[[#This Row],[Nombre
jours
total]]&lt;L$13,0,IF(Tableau158[[#This Row],[Nombre
jours
total]]&gt;L$14,L$14-L$13+1)))</f>
        <v>0</v>
      </c>
      <c r="S22" s="31">
        <f>IFERROR(VLOOKUP(Tableau158[[#This Row],[20/40OH]],Tableau69[[20/40OH]:[tranche 8]],7,FALSE)*Tableau158[[#This Row],[Tranche 6
export
nb jour]]*Tableau158[[#This Row],[Nombre de 
conteneur]],0)</f>
        <v>0</v>
      </c>
      <c r="T22" s="29">
        <f>IF(AND(Tableau158[[#This Row],[Nombre
jours
total]]&gt;=M$13,Tableau158[[#This Row],[Nombre
jours
total]]&lt;=M$14),Tableau158[[#This Row],[Nombre
jours
total]]-M$13+1,IF(Tableau158[[#This Row],[Nombre
jours
total]]&lt;M$13,0,IF(Tableau158[[#This Row],[Nombre
jours
total]]&gt;M$14,M$14-M$13+1)))</f>
        <v>0</v>
      </c>
      <c r="U22" s="31">
        <f>IFERROR(VLOOKUP(Tableau158[[#This Row],[20/40OH]],Tableau69[[20/40OH]:[tranche 8]],8,FALSE)*Tableau158[[#This Row],[Tranche 7
export
nb jour]]*Tableau158[[#This Row],[Nombre de 
conteneur]],0)</f>
        <v>0</v>
      </c>
      <c r="V22" s="29">
        <f>IF(AND(Tableau158[[#This Row],[Nombre
jours
total]]&gt;=N$13,Tableau158[[#This Row],[Nombre
jours
total]]&lt;=N$14),Tableau158[[#This Row],[Nombre
jours
total]]-N$13+1,IF(Tableau158[[#This Row],[Nombre
jours
total]]&lt;N$13,0,IF(Tableau158[[#This Row],[Nombre
jours
total]]&gt;N$14,N$14-N$13+1)))</f>
        <v>0</v>
      </c>
      <c r="W22" s="31">
        <f>IFERROR(VLOOKUP(Tableau158[[#This Row],[20/40OH]],Tableau69[[20/40OH]:[tranche 8]],9,FALSE)*Tableau158[[#This Row],[Tranche 8
export
nb jour]]*Tableau158[[#This Row],[Nombre de 
conteneur]],0)</f>
        <v>0</v>
      </c>
      <c r="X22" s="31">
        <f>+Tableau158[[#This Row],[Tranche 8
export
coût]]+Tableau158[[#This Row],[Tranche 7
export
coût]]+Tableau158[[#This Row],[Tranche 6
export
coût]]+Tableau158[[#This Row],[Tranche 5
export
coût]]+Tableau158[[#This Row],[Tranche 4
export
coût]]+Tableau158[[#This Row],[Tranche 3
export
coût]]+Tableau158[[#This Row],[Tranche 2
export
coût]]</f>
        <v>0</v>
      </c>
      <c r="Y22" s="3">
        <f>+Tableau158[[#This Row],[Tranche 8
export
nb jour]]+Tableau158[[#This Row],[Tranche 7
export
nb jour]]+Tableau158[[#This Row],[Tranche 6
export
nb jour]]+Tableau158[[#This Row],[Tranche 5
export
nb jour]]+Tableau158[[#This Row],[Tranche 4
export
nb jour]]+Tableau158[[#This Row],[Tranche 3
export
nb jour]]+Tableau158[[#This Row],[Tranche 2
export
nb jour]]+Tableau158[[#This Row],[Tranche 1
export
nb jour]]-Tableau158[[#This Row],[Nombre
jours
total]]</f>
        <v>0</v>
      </c>
    </row>
  </sheetData>
  <mergeCells count="6">
    <mergeCell ref="A1:Y1"/>
    <mergeCell ref="A2:Y2"/>
    <mergeCell ref="A4:Y4"/>
    <mergeCell ref="A17:N17"/>
    <mergeCell ref="A18:N18"/>
    <mergeCell ref="A3:Y3"/>
  </mergeCells>
  <dataValidations count="2">
    <dataValidation type="list" allowBlank="1" showInputMessage="1" showErrorMessage="1" sqref="C22" xr:uid="{31363ECD-F514-4A54-ADF8-F7AAEFC78A8A}">
      <formula1>type</formula1>
    </dataValidation>
    <dataValidation type="list" allowBlank="1" showInputMessage="1" showErrorMessage="1" sqref="B22" xr:uid="{AEEC8FBF-F12C-4E40-8D4C-E01232E268BC}">
      <formula1>longueur</formula1>
    </dataValidation>
  </dataValidations>
  <pageMargins left="0.7" right="0.7" top="0.75" bottom="0.75"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976CB-0739-4D9F-93E0-D80093B20510}">
  <sheetPr>
    <tabColor theme="5"/>
  </sheetPr>
  <dimension ref="A1:U19"/>
  <sheetViews>
    <sheetView showGridLines="0" showZeros="0" zoomScale="85" zoomScaleNormal="85" workbookViewId="0">
      <pane xSplit="4" ySplit="4" topLeftCell="E5" activePane="bottomRight" state="frozen"/>
      <selection pane="topRight" activeCell="E1" sqref="E1"/>
      <selection pane="bottomLeft" activeCell="A5" sqref="A5"/>
      <selection pane="bottomRight" activeCell="A19" sqref="A19"/>
    </sheetView>
  </sheetViews>
  <sheetFormatPr baseColWidth="10" defaultColWidth="11.42578125" defaultRowHeight="15" x14ac:dyDescent="0.25"/>
  <cols>
    <col min="1" max="1" width="16.42578125" style="17" customWidth="1"/>
    <col min="2" max="2" width="10.7109375" style="17" bestFit="1" customWidth="1"/>
    <col min="3" max="4" width="17.5703125" style="17" customWidth="1"/>
    <col min="5" max="5" width="13.140625" style="17" bestFit="1" customWidth="1"/>
    <col min="6" max="6" width="14.140625" style="2" customWidth="1"/>
    <col min="7" max="7" width="12.42578125" style="2" bestFit="1" customWidth="1"/>
    <col min="8" max="13" width="12.85546875" style="2" bestFit="1" customWidth="1"/>
    <col min="14" max="14" width="12.85546875" style="3" bestFit="1" customWidth="1"/>
    <col min="15" max="19" width="12.85546875" style="2" bestFit="1" customWidth="1"/>
    <col min="20" max="20" width="17" style="2" customWidth="1"/>
    <col min="21" max="21" width="14.28515625" style="2" hidden="1" customWidth="1"/>
    <col min="22" max="16384" width="11.42578125" style="2"/>
  </cols>
  <sheetData>
    <row r="1" spans="1:21" ht="24" x14ac:dyDescent="0.25">
      <c r="A1" s="39" t="s">
        <v>59</v>
      </c>
      <c r="B1" s="39"/>
      <c r="C1" s="39"/>
      <c r="D1" s="39"/>
      <c r="E1" s="39"/>
      <c r="F1" s="39"/>
      <c r="G1" s="39"/>
      <c r="H1" s="39"/>
      <c r="I1" s="39"/>
      <c r="J1" s="39"/>
      <c r="K1" s="39"/>
      <c r="L1" s="39"/>
      <c r="M1" s="39"/>
      <c r="N1" s="39"/>
      <c r="O1" s="39"/>
      <c r="P1" s="39"/>
      <c r="Q1" s="39"/>
      <c r="R1" s="39"/>
      <c r="S1" s="39"/>
      <c r="T1" s="39"/>
      <c r="U1" s="39"/>
    </row>
    <row r="2" spans="1:21" ht="24" x14ac:dyDescent="0.25">
      <c r="A2" s="39" t="s">
        <v>88</v>
      </c>
      <c r="B2" s="39"/>
      <c r="C2" s="39"/>
      <c r="D2" s="39"/>
      <c r="E2" s="39"/>
      <c r="F2" s="39"/>
      <c r="G2" s="39"/>
      <c r="H2" s="39"/>
      <c r="I2" s="39"/>
      <c r="J2" s="39"/>
      <c r="K2" s="39"/>
      <c r="L2" s="39"/>
      <c r="M2" s="39"/>
      <c r="N2" s="39"/>
      <c r="O2" s="39"/>
      <c r="P2" s="39"/>
      <c r="Q2" s="39"/>
      <c r="R2" s="39"/>
      <c r="S2" s="39"/>
      <c r="T2" s="39"/>
      <c r="U2" s="39"/>
    </row>
    <row r="3" spans="1:21" ht="24" x14ac:dyDescent="0.25">
      <c r="A3" s="42" t="s">
        <v>12</v>
      </c>
      <c r="B3" s="42"/>
      <c r="C3" s="42"/>
      <c r="D3" s="42"/>
      <c r="E3" s="42"/>
      <c r="F3" s="42"/>
      <c r="G3" s="42"/>
      <c r="H3" s="42"/>
      <c r="I3" s="42"/>
      <c r="J3" s="42"/>
      <c r="K3" s="42"/>
      <c r="L3" s="42"/>
      <c r="M3" s="42"/>
      <c r="N3" s="42"/>
      <c r="O3" s="42"/>
      <c r="P3" s="42"/>
      <c r="Q3" s="42"/>
      <c r="R3" s="42"/>
      <c r="S3" s="42"/>
      <c r="T3" s="42"/>
      <c r="U3" s="42"/>
    </row>
    <row r="4" spans="1:21" ht="37.5" customHeight="1" x14ac:dyDescent="0.25">
      <c r="A4" s="40" t="s">
        <v>13</v>
      </c>
      <c r="B4" s="40"/>
      <c r="C4" s="40"/>
      <c r="D4" s="40"/>
      <c r="E4" s="40"/>
      <c r="F4" s="40"/>
      <c r="G4" s="40"/>
      <c r="H4" s="40"/>
      <c r="I4" s="40"/>
      <c r="J4" s="40"/>
      <c r="K4" s="40"/>
      <c r="L4" s="40"/>
      <c r="M4" s="40"/>
      <c r="N4" s="40"/>
      <c r="O4" s="40"/>
      <c r="P4" s="40"/>
      <c r="Q4" s="40"/>
      <c r="R4" s="40"/>
      <c r="S4" s="40"/>
      <c r="T4" s="40"/>
      <c r="U4" s="40"/>
    </row>
    <row r="5" spans="1:21" x14ac:dyDescent="0.25">
      <c r="A5" s="2"/>
      <c r="B5" s="2"/>
      <c r="C5" s="2"/>
      <c r="D5" s="2"/>
      <c r="E5" s="2"/>
    </row>
    <row r="6" spans="1:21" x14ac:dyDescent="0.25">
      <c r="A6" s="2"/>
      <c r="B6" s="2"/>
      <c r="C6" s="2"/>
      <c r="D6" s="7" t="s">
        <v>15</v>
      </c>
      <c r="E6" s="7" t="s">
        <v>60</v>
      </c>
      <c r="F6" s="2" t="s">
        <v>17</v>
      </c>
      <c r="G6" s="2" t="s">
        <v>18</v>
      </c>
      <c r="H6" s="2" t="s">
        <v>19</v>
      </c>
      <c r="I6" s="2" t="s">
        <v>20</v>
      </c>
      <c r="J6" s="2" t="s">
        <v>21</v>
      </c>
      <c r="K6" s="2" t="s">
        <v>22</v>
      </c>
      <c r="L6" s="2" t="s">
        <v>23</v>
      </c>
      <c r="N6" s="2"/>
    </row>
    <row r="7" spans="1:21" ht="75" x14ac:dyDescent="0.25">
      <c r="A7" s="2"/>
      <c r="B7" s="2"/>
      <c r="C7" s="2"/>
      <c r="D7" s="34" t="s">
        <v>5</v>
      </c>
      <c r="E7" s="34" t="s">
        <v>61</v>
      </c>
      <c r="F7" s="9" t="s">
        <v>25</v>
      </c>
      <c r="G7" s="10">
        <v>5.78</v>
      </c>
      <c r="H7" s="10">
        <v>12.6</v>
      </c>
      <c r="I7" s="10">
        <v>15.75</v>
      </c>
      <c r="J7" s="6">
        <v>33.6</v>
      </c>
      <c r="K7" s="6">
        <v>72.98</v>
      </c>
      <c r="L7" s="6">
        <v>95.03</v>
      </c>
      <c r="N7" s="2"/>
      <c r="O7" s="5"/>
    </row>
    <row r="8" spans="1:21" ht="75" x14ac:dyDescent="0.25">
      <c r="A8" s="2"/>
      <c r="B8" s="2"/>
      <c r="C8" s="2"/>
      <c r="D8" s="34" t="s">
        <v>8</v>
      </c>
      <c r="E8" s="34" t="s">
        <v>62</v>
      </c>
      <c r="F8" s="9" t="s">
        <v>25</v>
      </c>
      <c r="G8" s="10">
        <v>22.58</v>
      </c>
      <c r="H8" s="10">
        <v>39.380000000000003</v>
      </c>
      <c r="I8" s="10">
        <v>84</v>
      </c>
      <c r="J8" s="6">
        <v>106.58</v>
      </c>
      <c r="K8" s="6">
        <v>151.19999999999999</v>
      </c>
      <c r="L8" s="6">
        <v>195.83</v>
      </c>
      <c r="N8" s="2"/>
    </row>
    <row r="9" spans="1:21" ht="30" x14ac:dyDescent="0.25">
      <c r="A9" s="2"/>
      <c r="B9" s="2"/>
      <c r="C9" s="2"/>
      <c r="D9" s="34" t="s">
        <v>10</v>
      </c>
      <c r="E9" s="34" t="s">
        <v>63</v>
      </c>
      <c r="F9" s="9" t="s">
        <v>25</v>
      </c>
      <c r="G9" s="10">
        <f>+G8*1.5</f>
        <v>33.869999999999997</v>
      </c>
      <c r="H9" s="10">
        <f t="shared" ref="H9:L9" si="0">+H8*1.5</f>
        <v>59.070000000000007</v>
      </c>
      <c r="I9" s="10">
        <f t="shared" si="0"/>
        <v>126</v>
      </c>
      <c r="J9" s="10">
        <f t="shared" si="0"/>
        <v>159.87</v>
      </c>
      <c r="K9" s="10">
        <f t="shared" si="0"/>
        <v>226.79999999999998</v>
      </c>
      <c r="L9" s="10">
        <f t="shared" si="0"/>
        <v>293.745</v>
      </c>
      <c r="N9" s="2"/>
    </row>
    <row r="10" spans="1:21" x14ac:dyDescent="0.25">
      <c r="A10" s="2"/>
      <c r="B10" s="2"/>
      <c r="C10" s="2"/>
      <c r="D10" s="16" t="s">
        <v>30</v>
      </c>
      <c r="E10" s="11"/>
      <c r="F10" s="6">
        <v>0</v>
      </c>
      <c r="G10" s="6">
        <f>+F11+1</f>
        <v>9</v>
      </c>
      <c r="H10" s="6">
        <f>+G11+1</f>
        <v>11</v>
      </c>
      <c r="I10" s="6">
        <f t="shared" ref="I10:L10" si="1">+H11+1</f>
        <v>16</v>
      </c>
      <c r="J10" s="6">
        <f t="shared" si="1"/>
        <v>26</v>
      </c>
      <c r="K10" s="6">
        <f t="shared" si="1"/>
        <v>51</v>
      </c>
      <c r="L10" s="6">
        <f t="shared" si="1"/>
        <v>91</v>
      </c>
      <c r="N10" s="2"/>
    </row>
    <row r="11" spans="1:21" x14ac:dyDescent="0.25">
      <c r="A11" s="2"/>
      <c r="B11" s="2"/>
      <c r="C11" s="2"/>
      <c r="D11" s="16" t="s">
        <v>31</v>
      </c>
      <c r="E11" s="11"/>
      <c r="F11" s="6">
        <v>8</v>
      </c>
      <c r="G11" s="6">
        <v>10</v>
      </c>
      <c r="H11" s="6">
        <v>15</v>
      </c>
      <c r="I11" s="6">
        <v>25</v>
      </c>
      <c r="J11" s="6">
        <v>50</v>
      </c>
      <c r="K11" s="6">
        <v>90</v>
      </c>
      <c r="L11" s="35">
        <v>999999</v>
      </c>
      <c r="N11" s="2"/>
    </row>
    <row r="12" spans="1:21" x14ac:dyDescent="0.25">
      <c r="A12" s="2"/>
      <c r="B12" s="2"/>
      <c r="C12" s="2"/>
      <c r="D12" s="8" t="s">
        <v>32</v>
      </c>
      <c r="E12" s="8"/>
      <c r="F12" s="6">
        <f>+F11</f>
        <v>8</v>
      </c>
      <c r="G12" s="6">
        <f>+G11-G10+1</f>
        <v>2</v>
      </c>
      <c r="H12" s="6">
        <f t="shared" ref="H12:K12" si="2">+H11-H10+1</f>
        <v>5</v>
      </c>
      <c r="I12" s="6">
        <f t="shared" si="2"/>
        <v>10</v>
      </c>
      <c r="J12" s="6">
        <f t="shared" si="2"/>
        <v>25</v>
      </c>
      <c r="K12" s="6">
        <f t="shared" si="2"/>
        <v>40</v>
      </c>
      <c r="L12" s="14">
        <f>+L11-L10+1</f>
        <v>999909</v>
      </c>
      <c r="N12" s="2"/>
    </row>
    <row r="13" spans="1:21" x14ac:dyDescent="0.25">
      <c r="A13" s="2"/>
      <c r="B13" s="2"/>
      <c r="C13" s="2"/>
      <c r="D13" s="2"/>
      <c r="E13" s="2"/>
      <c r="G13" s="4"/>
      <c r="H13" s="6"/>
      <c r="I13" s="6"/>
      <c r="J13" s="6"/>
      <c r="K13" s="6"/>
      <c r="L13" s="6"/>
      <c r="M13" s="6"/>
      <c r="N13" s="6"/>
      <c r="O13" s="6"/>
    </row>
    <row r="14" spans="1:21" x14ac:dyDescent="0.25">
      <c r="A14" s="41" t="s">
        <v>64</v>
      </c>
      <c r="B14" s="41"/>
      <c r="C14" s="41"/>
      <c r="D14" s="41"/>
      <c r="E14" s="41"/>
      <c r="F14" s="41"/>
      <c r="G14" s="41"/>
      <c r="H14" s="41"/>
      <c r="I14" s="41"/>
      <c r="J14" s="41"/>
      <c r="K14" s="41"/>
      <c r="L14" s="41"/>
      <c r="M14" s="41"/>
      <c r="N14" s="41"/>
      <c r="O14" s="12"/>
      <c r="P14" s="12"/>
      <c r="Q14" s="12"/>
      <c r="R14" s="12"/>
      <c r="S14" s="12"/>
      <c r="T14" s="12"/>
      <c r="U14" s="12"/>
    </row>
    <row r="15" spans="1:21" ht="15.75" thickBot="1" x14ac:dyDescent="0.3">
      <c r="A15" s="41" t="s">
        <v>65</v>
      </c>
      <c r="B15" s="41"/>
      <c r="C15" s="41"/>
      <c r="D15" s="41"/>
      <c r="E15" s="41"/>
      <c r="F15" s="41"/>
      <c r="G15" s="41"/>
      <c r="H15" s="41"/>
      <c r="I15" s="41"/>
      <c r="J15" s="41"/>
      <c r="K15" s="41"/>
      <c r="L15" s="41"/>
      <c r="M15" s="41"/>
      <c r="N15" s="41"/>
      <c r="O15" s="12"/>
      <c r="P15" s="12"/>
      <c r="Q15" s="12"/>
      <c r="R15" s="12"/>
      <c r="S15" s="12"/>
      <c r="T15" s="12"/>
      <c r="U15" s="12"/>
    </row>
    <row r="16" spans="1:21" ht="30.75" thickTop="1" x14ac:dyDescent="0.25">
      <c r="A16" s="13" t="s">
        <v>35</v>
      </c>
      <c r="B16" s="12"/>
      <c r="C16" s="12"/>
      <c r="D16" s="12"/>
      <c r="E16" s="12"/>
      <c r="F16" s="12"/>
      <c r="G16" s="12"/>
      <c r="H16" s="12"/>
      <c r="I16" s="12"/>
      <c r="J16" s="12"/>
      <c r="K16" s="12"/>
      <c r="L16" s="12"/>
      <c r="M16" s="12"/>
      <c r="N16" s="12"/>
      <c r="O16" s="12"/>
      <c r="P16" s="12"/>
      <c r="Q16" s="12"/>
      <c r="R16" s="12"/>
      <c r="S16" s="12"/>
      <c r="T16" s="12"/>
      <c r="U16" s="12"/>
    </row>
    <row r="17" spans="1:20" ht="22.5" customHeight="1" x14ac:dyDescent="0.25">
      <c r="A17" s="18">
        <f>SUBTOTAL(9,Tableau15106[Total
Stationnement])</f>
        <v>0</v>
      </c>
      <c r="B17" s="2"/>
      <c r="C17" s="2"/>
      <c r="D17" s="2"/>
      <c r="E17" s="2"/>
      <c r="G17" s="4"/>
      <c r="H17" s="6"/>
      <c r="I17" s="6"/>
      <c r="J17" s="6"/>
      <c r="K17" s="6"/>
      <c r="L17" s="6"/>
      <c r="M17" s="6"/>
      <c r="N17" s="6"/>
      <c r="O17" s="6"/>
    </row>
    <row r="18" spans="1:20" s="25" customFormat="1" ht="56.25" customHeight="1" x14ac:dyDescent="0.25">
      <c r="A18" s="19" t="s">
        <v>66</v>
      </c>
      <c r="B18" s="20" t="s">
        <v>15</v>
      </c>
      <c r="C18" s="19" t="s">
        <v>67</v>
      </c>
      <c r="D18" s="19" t="s">
        <v>68</v>
      </c>
      <c r="E18" s="22" t="s">
        <v>40</v>
      </c>
      <c r="F18" s="23" t="s">
        <v>41</v>
      </c>
      <c r="G18" s="24" t="s">
        <v>42</v>
      </c>
      <c r="H18" s="23" t="s">
        <v>43</v>
      </c>
      <c r="I18" s="24" t="s">
        <v>44</v>
      </c>
      <c r="J18" s="23" t="s">
        <v>45</v>
      </c>
      <c r="K18" s="24" t="s">
        <v>46</v>
      </c>
      <c r="L18" s="23" t="s">
        <v>47</v>
      </c>
      <c r="M18" s="24" t="s">
        <v>48</v>
      </c>
      <c r="N18" s="23" t="s">
        <v>49</v>
      </c>
      <c r="O18" s="24" t="s">
        <v>50</v>
      </c>
      <c r="P18" s="23" t="s">
        <v>51</v>
      </c>
      <c r="Q18" s="24" t="s">
        <v>52</v>
      </c>
      <c r="R18" s="23" t="s">
        <v>53</v>
      </c>
      <c r="S18" s="24" t="s">
        <v>54</v>
      </c>
      <c r="T18" s="22" t="s">
        <v>57</v>
      </c>
    </row>
    <row r="19" spans="1:20" x14ac:dyDescent="0.25">
      <c r="A19" s="17">
        <v>1</v>
      </c>
      <c r="B19" s="26"/>
      <c r="C19" s="28"/>
      <c r="D19" s="28"/>
      <c r="E19" s="3">
        <f>+IF(Tableau15106[[#This Row],[Nombre de 
marchandises]]="",0,Tableau15106[[#This Row],[Date fin
''Embarquement'']]-Tableau15106[[#This Row],[Date début
''Réception'']]+1)</f>
        <v>1</v>
      </c>
      <c r="F19" s="29">
        <f>IF(Tableau15106[[#This Row],[Nombre
jours
total]]&lt;=F$11,Tableau15106[[#This Row],[Nombre
jours
total]],F$11)</f>
        <v>1</v>
      </c>
      <c r="G19" s="30">
        <f>IFERROR(VLOOKUP(Tableau15106[[#This Row],[Type]],Tableau61112[],3,FALSE)*Tableau15106[[#This Row],[Tranche 1
import
nb jour]]*Tableau15106[[#This Row],[Nombre de 
marchandises]],0)</f>
        <v>0</v>
      </c>
      <c r="H19" s="29">
        <f>IF(AND(Tableau15106[[#This Row],[Nombre
jours
total]]&gt;=G$10,Tableau15106[[#This Row],[Nombre
jours
total]]&lt;=G$11),Tableau15106[[#This Row],[Nombre
jours
total]]-G$10+1,IF(Tableau15106[[#This Row],[Nombre
jours
total]]&lt;G$10,0,IF(Tableau15106[[#This Row],[Nombre
jours
total]]&gt;G$11,G$11-G$10+1)))</f>
        <v>0</v>
      </c>
      <c r="I19" s="31">
        <f>IFERROR(VLOOKUP(Tableau15106[[#This Row],[Type]],Tableau61112[],4,FALSE)*Tableau15106[[#This Row],[Tranche 2
import
nb jour]]*Tableau15106[[#This Row],[Nombre de 
marchandises]],0)</f>
        <v>0</v>
      </c>
      <c r="J19" s="29">
        <f>IF(AND(Tableau15106[[#This Row],[Nombre
jours
total]]&gt;=H$10,Tableau15106[[#This Row],[Nombre
jours
total]]&lt;=H$11),Tableau15106[[#This Row],[Nombre
jours
total]]-H$10+1,IF(Tableau15106[[#This Row],[Nombre
jours
total]]&lt;H$10,0,IF(Tableau15106[[#This Row],[Nombre
jours
total]]&gt;H$11,H$11-H$10+1)))</f>
        <v>0</v>
      </c>
      <c r="K19" s="31">
        <f>IFERROR(VLOOKUP(Tableau15106[[#This Row],[Type]],Tableau61112[],5,FALSE)*Tableau15106[[#This Row],[Tranche 3
import
nb jour]]*Tableau15106[[#This Row],[Nombre de 
marchandises]],0)</f>
        <v>0</v>
      </c>
      <c r="L19" s="29">
        <f>IF(AND(Tableau15106[[#This Row],[Nombre
jours
total]]&gt;=I$10,Tableau15106[[#This Row],[Nombre
jours
total]]&lt;=I$11),Tableau15106[[#This Row],[Nombre
jours
total]]-I$10+1,IF(Tableau15106[[#This Row],[Nombre
jours
total]]&lt;I$10,0,IF(Tableau15106[[#This Row],[Nombre
jours
total]]&gt;I$11,I$11-I$10+1)))</f>
        <v>0</v>
      </c>
      <c r="M19" s="31">
        <f>IFERROR(VLOOKUP(Tableau15106[[#This Row],[Type]],Tableau61112[],6,FALSE)*Tableau15106[[#This Row],[Tranche 4
import
nb jour]]*Tableau15106[[#This Row],[Nombre de 
marchandises]],0)</f>
        <v>0</v>
      </c>
      <c r="N19" s="29">
        <f>IF(AND(Tableau15106[[#This Row],[Nombre
jours
total]]&gt;=J$10,Tableau15106[[#This Row],[Nombre
jours
total]]&lt;=J$11),Tableau15106[[#This Row],[Nombre
jours
total]]-J$10+1,IF(Tableau15106[[#This Row],[Nombre
jours
total]]&lt;J$10,0,IF(Tableau15106[[#This Row],[Nombre
jours
total]]&gt;J$11,J$11-J$10+1)))</f>
        <v>0</v>
      </c>
      <c r="O19" s="31">
        <f>IFERROR(VLOOKUP(Tableau15106[[#This Row],[Type]],Tableau61112[],7,FALSE)*Tableau15106[[#This Row],[Tranche 5
import
nb jour]]*Tableau15106[[#This Row],[Nombre de 
marchandises]],0)</f>
        <v>0</v>
      </c>
      <c r="P19" s="29">
        <f>IF(AND(Tableau15106[[#This Row],[Nombre
jours
total]]&gt;=K$10,Tableau15106[[#This Row],[Nombre
jours
total]]&lt;=K$11),Tableau15106[[#This Row],[Nombre
jours
total]]-K$10+1,IF(Tableau15106[[#This Row],[Nombre
jours
total]]&lt;K$10,0,IF(Tableau15106[[#This Row],[Nombre
jours
total]]&gt;K$11,K$11-K$10+1)))</f>
        <v>0</v>
      </c>
      <c r="Q19" s="31">
        <f>IFERROR(VLOOKUP(Tableau15106[[#This Row],[Type]],Tableau61112[],8,FALSE)*Tableau15106[[#This Row],[Tranche 6
import
nb jour]]*Tableau15106[[#This Row],[Nombre de 
marchandises]],0)</f>
        <v>0</v>
      </c>
      <c r="R19" s="29">
        <f>IF(AND(Tableau15106[[#This Row],[Nombre
jours
total]]&gt;=L$10,Tableau15106[[#This Row],[Nombre
jours
total]]&lt;=L$11),Tableau15106[[#This Row],[Nombre
jours
total]]-L$10+1,IF(Tableau15106[[#This Row],[Nombre
jours
total]]&lt;L$10,0,IF(Tableau15106[[#This Row],[Nombre
jours
total]]&gt;L$11,L$11-L$10+1)))</f>
        <v>0</v>
      </c>
      <c r="S19" s="31">
        <f>IFERROR(VLOOKUP(Tableau15106[[#This Row],[Type]],Tableau61112[],9,FALSE)*Tableau15106[[#This Row],[Tranche 6
import
nb jour]]*Tableau15106[[#This Row],[Nombre de 
marchandises]],0)</f>
        <v>0</v>
      </c>
      <c r="T19" s="31">
        <f>+Tableau15106[[#This Row],[Tranche 7
Import
coût]]+Tableau15106[[#This Row],[Tranche 6
Import
coût]]+Tableau15106[[#This Row],[Tranche 5
Import
coût]]+Tableau15106[[#This Row],[Tranche 4
Import
coût]]+Tableau15106[[#This Row],[Tranche 3
Import
coût]]+Tableau15106[[#This Row],[Tranche 2
Import
coût]]+Tableau15106[[#This Row],[Tranche 1
Import
coût]]</f>
        <v>0</v>
      </c>
    </row>
  </sheetData>
  <mergeCells count="6">
    <mergeCell ref="A1:U1"/>
    <mergeCell ref="A2:U2"/>
    <mergeCell ref="A4:U4"/>
    <mergeCell ref="A14:N14"/>
    <mergeCell ref="A15:N15"/>
    <mergeCell ref="A3:U3"/>
  </mergeCells>
  <dataValidations count="1">
    <dataValidation type="list" allowBlank="1" showInputMessage="1" showErrorMessage="1" sqref="B19" xr:uid="{B046852E-C056-472E-B6A7-5E0CA02D136A}">
      <formula1>Marchandise</formula1>
    </dataValidation>
  </dataValidation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2d80a40-ac96-4c29-8bd9-8231de4fcc0f">
      <Terms xmlns="http://schemas.microsoft.com/office/infopath/2007/PartnerControls"/>
    </lcf76f155ced4ddcb4097134ff3c332f>
    <TaxCatchAll xmlns="cabda29e-328d-4b52-b697-171e0a52246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A32FD1BF0EE974E90AB941C23629757" ma:contentTypeVersion="13" ma:contentTypeDescription="Crée un document." ma:contentTypeScope="" ma:versionID="c6979db42eeba34b1d3033050ff08292">
  <xsd:schema xmlns:xsd="http://www.w3.org/2001/XMLSchema" xmlns:xs="http://www.w3.org/2001/XMLSchema" xmlns:p="http://schemas.microsoft.com/office/2006/metadata/properties" xmlns:ns2="82d80a40-ac96-4c29-8bd9-8231de4fcc0f" xmlns:ns3="cabda29e-328d-4b52-b697-171e0a522466" targetNamespace="http://schemas.microsoft.com/office/2006/metadata/properties" ma:root="true" ma:fieldsID="d6847ada8d07b3174aa29fe5c861c8c2" ns2:_="" ns3:_="">
    <xsd:import namespace="82d80a40-ac96-4c29-8bd9-8231de4fcc0f"/>
    <xsd:import namespace="cabda29e-328d-4b52-b697-171e0a52246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d80a40-ac96-4c29-8bd9-8231de4fcc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56b23e2c-3462-43e2-964d-a0a52634ee5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bda29e-328d-4b52-b697-171e0a522466"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bad33ead-8102-41c8-b8b7-6af7988cd988}" ma:internalName="TaxCatchAll" ma:showField="CatchAllData" ma:web="cabda29e-328d-4b52-b697-171e0a5224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800E03-104D-4015-B3EF-36FFF7F08E18}">
  <ds:schemaRefs>
    <ds:schemaRef ds:uri="http://schemas.microsoft.com/office/2006/documentManagement/types"/>
    <ds:schemaRef ds:uri="cabda29e-328d-4b52-b697-171e0a522466"/>
    <ds:schemaRef ds:uri="http://purl.org/dc/elements/1.1/"/>
    <ds:schemaRef ds:uri="http://schemas.microsoft.com/office/2006/metadata/properties"/>
    <ds:schemaRef ds:uri="http://purl.org/dc/terms/"/>
    <ds:schemaRef ds:uri="82d80a40-ac96-4c29-8bd9-8231de4fcc0f"/>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733068A-41C3-40D8-B634-37DA2F0945D8}">
  <ds:schemaRefs>
    <ds:schemaRef ds:uri="http://schemas.microsoft.com/sharepoint/v3/contenttype/forms"/>
  </ds:schemaRefs>
</ds:datastoreItem>
</file>

<file path=customXml/itemProps3.xml><?xml version="1.0" encoding="utf-8"?>
<ds:datastoreItem xmlns:ds="http://schemas.openxmlformats.org/officeDocument/2006/customXml" ds:itemID="{13AFAAB6-7808-4910-B25F-6FBCB6274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d80a40-ac96-4c29-8bd9-8231de4fcc0f"/>
    <ds:schemaRef ds:uri="cabda29e-328d-4b52-b697-171e0a5224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12</vt:i4>
      </vt:variant>
    </vt:vector>
  </HeadingPairs>
  <TitlesOfParts>
    <vt:vector size="17" baseType="lpstr">
      <vt:lpstr>base</vt:lpstr>
      <vt:lpstr>Import conteneur</vt:lpstr>
      <vt:lpstr>Import roulant</vt:lpstr>
      <vt:lpstr>Export conteneur</vt:lpstr>
      <vt:lpstr>Export roulant</vt:lpstr>
      <vt:lpstr>ABC</vt:lpstr>
      <vt:lpstr>'Export conteneur'!longueur</vt:lpstr>
      <vt:lpstr>'Export roulant'!longueur</vt:lpstr>
      <vt:lpstr>'Import roulant'!longueur</vt:lpstr>
      <vt:lpstr>longueur</vt:lpstr>
      <vt:lpstr>'Export roulant'!Marchandise</vt:lpstr>
      <vt:lpstr>Marchandise</vt:lpstr>
      <vt:lpstr>'Export conteneur'!type</vt:lpstr>
      <vt:lpstr>'Export roulant'!type</vt:lpstr>
      <vt:lpstr>'Import roulant'!type</vt:lpstr>
      <vt:lpstr>type</vt:lpstr>
      <vt:lpstr>vingt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bb</dc:creator>
  <cp:keywords/>
  <dc:description/>
  <cp:lastModifiedBy>Béatrice Bianchini</cp:lastModifiedBy>
  <cp:revision/>
  <dcterms:created xsi:type="dcterms:W3CDTF">2023-08-24T13:42:44Z</dcterms:created>
  <dcterms:modified xsi:type="dcterms:W3CDTF">2024-08-08T10:51:49Z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0x0101004A32FD1BF0EE974E90AB941C23629757</vt:lpwstr>
  </property>
  <property fmtid="{D5CDD505-2E9C-101B-9397-08002B2CF9AE}" pid="3" name="MediaServiceImageTags">
    <vt:lpwstr/>
  </property>
</Properties>
</file>